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a0176c4b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7c4be6cec9c4ec6"/>
    <x:sheet xmlns:r="http://schemas.openxmlformats.org/officeDocument/2006/relationships" name="Assumptions" sheetId="2" r:id="Rabb3034fb0774fbb"/>
    <x:sheet xmlns:r="http://schemas.openxmlformats.org/officeDocument/2006/relationships" name="Power and Contracts" sheetId="3" r:id="Reaf2cbed3cca4f70"/>
    <x:sheet xmlns:r="http://schemas.openxmlformats.org/officeDocument/2006/relationships" name="Operations" sheetId="4" r:id="R3248fab39a604758"/>
    <x:sheet xmlns:r="http://schemas.openxmlformats.org/officeDocument/2006/relationships" name="Debt and Funding" sheetId="5" r:id="Ra5d660a405274b2f"/>
    <x:sheet xmlns:r="http://schemas.openxmlformats.org/officeDocument/2006/relationships" name="Review" sheetId="6" r:id="R1268084039ba4c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0308e6e214937" /><Relationship Type="http://schemas.openxmlformats.org/officeDocument/2006/relationships/theme" Target="/xl/theme/theme1.xml" Id="R876bbb5d45b14fe5" /><Relationship Type="http://schemas.openxmlformats.org/officeDocument/2006/relationships/sharedStrings" Target="/xl/sharedStrings.xml" Id="R7f26dd5a0b5a4ae3" /><Relationship Type="http://schemas.openxmlformats.org/officeDocument/2006/relationships/worksheet" Target="/xl/worksheets/sheet1.xml" Id="Rd7c4be6cec9c4ec6" /><Relationship Type="http://schemas.openxmlformats.org/officeDocument/2006/relationships/worksheet" Target="/xl/worksheets/sheet2.xml" Id="Rabb3034fb0774fbb" /><Relationship Type="http://schemas.openxmlformats.org/officeDocument/2006/relationships/worksheet" Target="/xl/worksheets/sheet3.xml" Id="Reaf2cbed3cca4f70" /><Relationship Type="http://schemas.openxmlformats.org/officeDocument/2006/relationships/worksheet" Target="/xl/worksheets/sheet4.xml" Id="R3248fab39a604758" /><Relationship Type="http://schemas.openxmlformats.org/officeDocument/2006/relationships/worksheet" Target="/xl/worksheets/sheet5.xml" Id="Ra5d660a405274b2f" /><Relationship Type="http://schemas.openxmlformats.org/officeDocument/2006/relationships/worksheet" Target="/xl/worksheets/sheet6.xml" Id="R1268084039ba4c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Data center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'Operations'!E13</x:f>
        <x:v>5747865.6</x:v>
      </x:c>
      <x:c r="E10" s="2"/>
      <x:c r="F10" s="2"/>
      <x:c r="G10" s="70" t="n">
        <x:f>'Operations'!G9</x:f>
        <x:v>46388</x:v>
      </x:c>
      <x:c r="H10" s="71" t="n">
        <x:f>'Debt and Funding'!G36</x:f>
        <x:v>14738.021333333352</x:v>
      </x:c>
      <x:c r="I10" s="71" t="n">
        <x:f>'Debt and Funding'!G37</x:f>
        <x:v>514738.02133333334</x:v>
      </x:c>
      <x:c r="J10" s="71" t="n">
        <x:f>'Debt and Funding'!G33</x:f>
        <x:v>13000000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'Operations'!E17</x:f>
        <x:v>3857184</x:v>
      </x:c>
      <x:c r="E11" s="2"/>
      <x:c r="F11" s="2"/>
      <x:c r="G11" s="70" t="n">
        <x:f>'Operations'!H9</x:f>
        <x:v>46419</x:v>
      </x:c>
      <x:c r="H11" s="71" t="n">
        <x:f>'Debt and Funding'!H36</x:f>
        <x:v>16786.277333333346</x:v>
      </x:c>
      <x:c r="I11" s="71" t="n">
        <x:f>'Debt and Funding'!H37</x:f>
        <x:v>531524.2986666667</x:v>
      </x:c>
      <x:c r="J11" s="71" t="n">
        <x:f>'Debt and Funding'!H33</x:f>
        <x:v>13000000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'Operations'!E18</x:f>
        <x:v>1890681.6000000003</x:v>
      </x:c>
      <x:c r="E12" s="2"/>
      <x:c r="F12" s="2"/>
      <x:c r="G12" s="70" t="n">
        <x:f>'Operations'!I9</x:f>
        <x:v>46447</x:v>
      </x:c>
      <x:c r="H12" s="71" t="n">
        <x:f>'Debt and Funding'!I36</x:f>
        <x:v>14738.021333333352</x:v>
      </x:c>
      <x:c r="I12" s="71" t="n">
        <x:f>'Debt and Funding'!I37</x:f>
        <x:v>546262.3200000001</x:v>
      </x:c>
      <x:c r="J12" s="71" t="n">
        <x:f>'Debt and Funding'!I33</x:f>
        <x:v>13000000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'Operations'!E19</x:f>
        <x:v>172435.968</x:v>
      </x:c>
      <x:c r="E13" s="2"/>
      <x:c r="F13" s="2"/>
      <x:c r="G13" s="70" t="n">
        <x:f>'Operations'!J9</x:f>
        <x:v>46478</x:v>
      </x:c>
      <x:c r="H13" s="71" t="n">
        <x:f>'Debt and Funding'!J36</x:f>
        <x:v>15420.77333333333</x:v>
      </x:c>
      <x:c r="I13" s="71" t="n">
        <x:f>'Debt and Funding'!J37</x:f>
        <x:v>561683.0933333334</x:v>
      </x:c>
      <x:c r="J13" s="71" t="n">
        <x:f>'Debt and Funding'!J33</x:f>
        <x:v>13000000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'Operations'!E20</x:f>
        <x:v>1718245.632</x:v>
      </x:c>
      <x:c r="E14" s="2"/>
      <x:c r="F14" s="2"/>
      <x:c r="G14" s="70" t="n">
        <x:f>'Operations'!K9</x:f>
        <x:v>46508</x:v>
      </x:c>
      <x:c r="H14" s="71" t="n">
        <x:f>'Debt and Funding'!K36</x:f>
        <x:v>14738.021333333352</x:v>
      </x:c>
      <x:c r="I14" s="71" t="n">
        <x:f>'Debt and Funding'!K37</x:f>
        <x:v>576421.1146666667</x:v>
      </x:c>
      <x:c r="J14" s="71" t="n">
        <x:f>'Debt and Funding'!K33</x:f>
        <x:v>13000000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1718245.632</x:v>
      </x:c>
      <x:c r="E15" s="2"/>
      <x:c r="F15" s="2"/>
      <x:c r="G15" s="70" t="n">
        <x:f>'Operations'!L9</x:f>
        <x:v>46539</x:v>
      </x:c>
      <x:c r="H15" s="71" t="n">
        <x:f>'Debt and Funding'!L36</x:f>
        <x:v>-569579.2266666667</x:v>
      </x:c>
      <x:c r="I15" s="71" t="n">
        <x:f>'Debt and Funding'!L37</x:f>
        <x:v>6841.888000000035</x:v>
      </x:c>
      <x:c r="J15" s="71" t="n">
        <x:f>'Debt and Funding'!L33</x:f>
        <x:v>13000000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16965120.537431944</x:v>
      </x:c>
      <x:c r="E16" s="2"/>
      <x:c r="F16" s="2"/>
      <x:c r="G16" s="70" t="n">
        <x:f>'Operations'!M9</x:f>
        <x:v>46569</x:v>
      </x:c>
      <x:c r="H16" s="71" t="n">
        <x:f>'Debt and Funding'!M36</x:f>
        <x:v>82560.76502480663</x:v>
      </x:c>
      <x:c r="I16" s="71" t="n">
        <x:f>'Debt and Funding'!M37</x:f>
        <x:v>89402.65302480667</x:v>
      </x:c>
      <x:c r="J16" s="71" t="n">
        <x:f>'Debt and Funding'!M33</x:f>
        <x:v>12982639.735691473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13000000</x:v>
      </x:c>
      <x:c r="E17" s="2"/>
      <x:c r="F17" s="2"/>
      <x:c r="G17" s="70" t="n">
        <x:f>'Operations'!N9</x:f>
        <x:v>46600</x:v>
      </x:c>
      <x:c r="H17" s="71" t="n">
        <x:f>'Debt and Funding'!N36</x:f>
        <x:v>82560.76502480663</x:v>
      </x:c>
      <x:c r="I17" s="71" t="n">
        <x:f>'Debt and Funding'!N37</x:f>
        <x:v>171963.4180496133</x:v>
      </x:c>
      <x:c r="J17" s="71" t="n">
        <x:f>'Debt and Funding'!N33</x:f>
        <x:v>12965185.436617943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19091618.133333333</x:v>
      </x:c>
      <x:c r="E18" s="2"/>
      <x:c r="F18" s="2"/>
      <x:c r="G18" s="70" t="n">
        <x:f>'Operations'!O9</x:f>
        <x:v>46631</x:v>
      </x:c>
      <x:c r="H18" s="71" t="n">
        <x:f>'Debt and Funding'!O36</x:f>
        <x:v>83499.54902480659</x:v>
      </x:c>
      <x:c r="I18" s="71" t="n">
        <x:f>'Debt and Funding'!O37</x:f>
        <x:v>255462.9670744199</x:v>
      </x:c>
      <x:c r="J18" s="71" t="n">
        <x:f>'Debt and Funding'!O33</x:f>
        <x:v>12947636.59342443</x:v>
      </x:c>
      <x:c r="K18" s="2"/>
      <x:c r="L18" s="2"/>
    </x:row>
    <x:row r="19" ht="21" customHeight="1">
      <x:c r="A19" s="2"/>
      <x:c r="B19" s="2"/>
      <x:c r="C19" s="57" t="str">
        <x:v>Sized loan</x:v>
      </x:c>
      <x:c r="D19" s="67" t="n">
        <x:f>'Debt and Funding'!D14</x:f>
        <x:v>13000000</x:v>
      </x:c>
      <x:c r="E19" s="2"/>
      <x:c r="F19" s="2"/>
      <x:c r="G19" s="70" t="n">
        <x:f>'Operations'!P9</x:f>
        <x:v>46661</x:v>
      </x:c>
      <x:c r="H19" s="71" t="n">
        <x:f>'Debt and Funding'!P36</x:f>
        <x:v>82560.76502480663</x:v>
      </x:c>
      <x:c r="I19" s="71" t="n">
        <x:f>'Debt and Funding'!P37</x:f>
        <x:v>338023.73209922656</x:v>
      </x:c>
      <x:c r="J19" s="71" t="n">
        <x:f>'Debt and Funding'!P33</x:f>
        <x:v>12929992.693996953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8" t="str">
        <x:f>'Debt and Funding'!D15</x:f>
        <x:v>LTV</x:v>
      </x:c>
      <x:c r="E20" s="2"/>
      <x:c r="F20" s="2"/>
      <x:c r="G20" s="70" t="n">
        <x:f>'Operations'!Q9</x:f>
        <x:v>46692</x:v>
      </x:c>
      <x:c r="H20" s="71" t="n">
        <x:f>'Debt and Funding'!Q36</x:f>
        <x:v>83499.54902480659</x:v>
      </x:c>
      <x:c r="I20" s="71" t="n">
        <x:f>'Debt and Funding'!Q37</x:f>
        <x:v>421523.28112403315</x:v>
      </x:c>
      <x:c r="J20" s="71" t="n">
        <x:f>'Debt and Funding'!Q33</x:f>
        <x:v>12912253.223447576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949161.5858511605</x:v>
      </x:c>
      <x:c r="E21" s="2"/>
      <x:c r="F21" s="2"/>
      <x:c r="G21" s="70" t="n">
        <x:f>'Operations'!R9</x:f>
        <x:v>46722</x:v>
      </x:c>
      <x:c r="H21" s="71" t="n">
        <x:f>'Debt and Funding'!R36</x:f>
        <x:v>82560.76502480663</x:v>
      </x:c>
      <x:c r="I21" s="71" t="n">
        <x:f>'Debt and Funding'!R37</x:f>
        <x:v>504084.04614883976</x:v>
      </x:c>
      <x:c r="J21" s="71" t="n">
        <x:f>'Debt and Funding'!R33</x:f>
        <x:v>12894417.66409939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9" t="n">
        <x:f>'Debt and Funding'!D44</x:f>
        <x:v>1.81027725691107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6250000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3750000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7" t="str">
        <x:v>Sponsor cash after all modeled needs</x:v>
      </x:c>
      <x:c r="D26" s="67" t="n">
        <x:f>'Debt and Funding'!D47</x:f>
        <x:v>3750000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12894417.66409939</x:v>
      </x:c>
      <x:c r="E27" s="2"/>
      <x:c r="F27" s="2"/>
      <x:c r="G27" s="2" t="str">
        <x:v>Edit blue cells in Power and Contracts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11914425.96591498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20000000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20000000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17000000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18500000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18500000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18500000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500000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500000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500000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10000000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10000000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10000000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14000000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14000000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14000000</x:v>
      </x:c>
      <x:c r="E30" s="2"/>
      <x:c r="F30" s="2"/>
      <x:c r="G30" s="42" t="str">
        <x:v>Billing is limited by commissioned capacity. The unused contract amount is not accepted as current revenue. Continuous full billed load, calendar hours and PUE drive energy; change those assumptions for actual utilization.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PUE, tariffs, contract load and reimbursement are hypothetical. Lender recognition, power delivery and uptime obligations require contracts and technical evidence.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300000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300000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350000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Power and Contracts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Commissioned IT capacity</x:v>
      </x:c>
      <x:c r="E9" s="21" t="str">
        <x:v>Contracted IT load</x:v>
      </x:c>
      <x:c r="F9" s="21" t="str">
        <x:v>Monthly rent / billed kW</x:v>
      </x:c>
      <x:c r="G9" s="21" t="str">
        <x:v>PUE</x:v>
      </x:c>
      <x:c r="H9" s="21" t="str">
        <x:v>Electricity / kWh</x:v>
      </x:c>
      <x:c r="I9" s="21" t="str">
        <x:v>Energy reimbursement fraction</x:v>
      </x:c>
      <x:c r="J9" s="21" t="str">
        <x:v>Monthly technical payroll</x:v>
      </x:c>
      <x:c r="K9" s="21" t="str">
        <x:v>Other services costs</x:v>
      </x:c>
      <x:c r="L9" s="21" t="str">
        <x:v>Equipment capital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2000</x:v>
      </x:c>
      <x:c r="E10" s="16" t="n">
        <x:v>1600</x:v>
      </x:c>
      <x:c r="F10" s="27" t="n">
        <x:v>160</x:v>
      </x:c>
      <x:c r="G10" s="39" t="n">
        <x:v>1.4</x:v>
      </x:c>
      <x:c r="H10" s="27" t="n">
        <x:v>0.1</x:v>
      </x:c>
      <x:c r="I10" s="30" t="n">
        <x:v>0.9</x:v>
      </x:c>
      <x:c r="J10" s="27" t="n">
        <x:v>80000</x:v>
      </x:c>
      <x:c r="K10" s="27" t="n">
        <x:v>22000</x:v>
      </x:c>
      <x:c r="L10" s="27" t="n">
        <x:v>15000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1,G10&lt;=4),FALSE),IF(ISNUMBER(H10),AND(H10&gt;=0,H10&lt;=1000000000000),FALSE),IF(ISNUMBER(I10),AND(I10&gt;=0,I10&lt;=1)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2000</x:v>
      </x:c>
      <x:c r="E11" s="16" t="n">
        <x:v>1600</x:v>
      </x:c>
      <x:c r="F11" s="27" t="n">
        <x:v>160</x:v>
      </x:c>
      <x:c r="G11" s="39" t="n">
        <x:v>1.4</x:v>
      </x:c>
      <x:c r="H11" s="27" t="n">
        <x:v>0.1</x:v>
      </x:c>
      <x:c r="I11" s="30" t="n">
        <x:v>0.9</x:v>
      </x:c>
      <x:c r="J11" s="27" t="n">
        <x:v>80000</x:v>
      </x:c>
      <x:c r="K11" s="27" t="n">
        <x:v>22000</x:v>
      </x:c>
      <x:c r="L11" s="27" t="n">
        <x:v>15000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1,G11&lt;=4),FALSE),IF(ISNUMBER(H11),AND(H11&gt;=0,H11&lt;=1000000000000),FALSE),IF(ISNUMBER(I11),AND(I11&gt;=0,I11&lt;=1)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2000</x:v>
      </x:c>
      <x:c r="E12" s="16" t="n">
        <x:v>1600</x:v>
      </x:c>
      <x:c r="F12" s="27" t="n">
        <x:v>160</x:v>
      </x:c>
      <x:c r="G12" s="39" t="n">
        <x:v>1.4</x:v>
      </x:c>
      <x:c r="H12" s="27" t="n">
        <x:v>0.1</x:v>
      </x:c>
      <x:c r="I12" s="30" t="n">
        <x:v>0.9</x:v>
      </x:c>
      <x:c r="J12" s="27" t="n">
        <x:v>80000</x:v>
      </x:c>
      <x:c r="K12" s="27" t="n">
        <x:v>22000</x:v>
      </x:c>
      <x:c r="L12" s="27" t="n">
        <x:v>15000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1,G12&lt;=4),FALSE),IF(ISNUMBER(H12),AND(H12&gt;=0,H12&lt;=1000000000000),FALSE),IF(ISNUMBER(I12),AND(I12&gt;=0,I12&lt;=1)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2000</x:v>
      </x:c>
      <x:c r="E13" s="16" t="n">
        <x:v>1600</x:v>
      </x:c>
      <x:c r="F13" s="27" t="n">
        <x:v>160</x:v>
      </x:c>
      <x:c r="G13" s="39" t="n">
        <x:v>1.4</x:v>
      </x:c>
      <x:c r="H13" s="27" t="n">
        <x:v>0.1</x:v>
      </x:c>
      <x:c r="I13" s="30" t="n">
        <x:v>0.9</x:v>
      </x:c>
      <x:c r="J13" s="27" t="n">
        <x:v>80000</x:v>
      </x:c>
      <x:c r="K13" s="27" t="n">
        <x:v>22000</x:v>
      </x:c>
      <x:c r="L13" s="27" t="n">
        <x:v>15000</x:v>
      </x:c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1,G13&lt;=4),FALSE),IF(ISNUMBER(H13),AND(H13&gt;=0,H13&lt;=1000000000000),FALSE),IF(ISNUMBER(I13),AND(I13&gt;=0,I13&lt;=1)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2000</x:v>
      </x:c>
      <x:c r="E14" s="16" t="n">
        <x:v>1600</x:v>
      </x:c>
      <x:c r="F14" s="27" t="n">
        <x:v>160</x:v>
      </x:c>
      <x:c r="G14" s="39" t="n">
        <x:v>1.4</x:v>
      </x:c>
      <x:c r="H14" s="27" t="n">
        <x:v>0.1</x:v>
      </x:c>
      <x:c r="I14" s="30" t="n">
        <x:v>0.9</x:v>
      </x:c>
      <x:c r="J14" s="27" t="n">
        <x:v>80000</x:v>
      </x:c>
      <x:c r="K14" s="27" t="n">
        <x:v>22000</x:v>
      </x:c>
      <x:c r="L14" s="27" t="n">
        <x:v>15000</x:v>
      </x:c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1,G14&lt;=4),FALSE),IF(ISNUMBER(H14),AND(H14&gt;=0,H14&lt;=1000000000000),FALSE),IF(ISNUMBER(I14),AND(I14&gt;=0,I14&lt;=1)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2000</x:v>
      </x:c>
      <x:c r="E15" s="16" t="n">
        <x:v>1600</x:v>
      </x:c>
      <x:c r="F15" s="27" t="n">
        <x:v>160</x:v>
      </x:c>
      <x:c r="G15" s="39" t="n">
        <x:v>1.4</x:v>
      </x:c>
      <x:c r="H15" s="27" t="n">
        <x:v>0.1</x:v>
      </x:c>
      <x:c r="I15" s="30" t="n">
        <x:v>0.9</x:v>
      </x:c>
      <x:c r="J15" s="27" t="n">
        <x:v>80000</x:v>
      </x:c>
      <x:c r="K15" s="27" t="n">
        <x:v>22000</x:v>
      </x:c>
      <x:c r="L15" s="27" t="n">
        <x:v>600000</x:v>
      </x:c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1,G15&lt;=4),FALSE),IF(ISNUMBER(H15),AND(H15&gt;=0,H15&lt;=1000000000000),FALSE),IF(ISNUMBER(I15),AND(I15&gt;=0,I15&lt;=1)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3000</x:v>
      </x:c>
      <x:c r="E16" s="16" t="n">
        <x:v>2200</x:v>
      </x:c>
      <x:c r="F16" s="27" t="n">
        <x:v>160</x:v>
      </x:c>
      <x:c r="G16" s="39" t="n">
        <x:v>1.4</x:v>
      </x:c>
      <x:c r="H16" s="27" t="n">
        <x:v>0.1</x:v>
      </x:c>
      <x:c r="I16" s="30" t="n">
        <x:v>0.9</x:v>
      </x:c>
      <x:c r="J16" s="27" t="n">
        <x:v>80000</x:v>
      </x:c>
      <x:c r="K16" s="27" t="n">
        <x:v>22000</x:v>
      </x:c>
      <x:c r="L16" s="27" t="n">
        <x:v>15000</x:v>
      </x:c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1,G16&lt;=4),FALSE),IF(ISNUMBER(H16),AND(H16&gt;=0,H16&lt;=1000000000000),FALSE),IF(ISNUMBER(I16),AND(I16&gt;=0,I16&lt;=1)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3000</x:v>
      </x:c>
      <x:c r="E17" s="16" t="n">
        <x:v>2200</x:v>
      </x:c>
      <x:c r="F17" s="27" t="n">
        <x:v>160</x:v>
      </x:c>
      <x:c r="G17" s="39" t="n">
        <x:v>1.4</x:v>
      </x:c>
      <x:c r="H17" s="27" t="n">
        <x:v>0.1</x:v>
      </x:c>
      <x:c r="I17" s="30" t="n">
        <x:v>0.9</x:v>
      </x:c>
      <x:c r="J17" s="27" t="n">
        <x:v>80000</x:v>
      </x:c>
      <x:c r="K17" s="27" t="n">
        <x:v>22000</x:v>
      </x:c>
      <x:c r="L17" s="27" t="n">
        <x:v>15000</x:v>
      </x:c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1,G17&lt;=4),FALSE),IF(ISNUMBER(H17),AND(H17&gt;=0,H17&lt;=1000000000000),FALSE),IF(ISNUMBER(I17),AND(I17&gt;=0,I17&lt;=1)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3000</x:v>
      </x:c>
      <x:c r="E18" s="16" t="n">
        <x:v>2200</x:v>
      </x:c>
      <x:c r="F18" s="27" t="n">
        <x:v>160</x:v>
      </x:c>
      <x:c r="G18" s="39" t="n">
        <x:v>1.4</x:v>
      </x:c>
      <x:c r="H18" s="27" t="n">
        <x:v>0.1</x:v>
      </x:c>
      <x:c r="I18" s="30" t="n">
        <x:v>0.9</x:v>
      </x:c>
      <x:c r="J18" s="27" t="n">
        <x:v>80000</x:v>
      </x:c>
      <x:c r="K18" s="27" t="n">
        <x:v>22000</x:v>
      </x:c>
      <x:c r="L18" s="27" t="n">
        <x:v>15000</x:v>
      </x:c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1,G18&lt;=4),FALSE),IF(ISNUMBER(H18),AND(H18&gt;=0,H18&lt;=1000000000000),FALSE),IF(ISNUMBER(I18),AND(I18&gt;=0,I18&lt;=1)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3000</x:v>
      </x:c>
      <x:c r="E19" s="16" t="n">
        <x:v>2200</x:v>
      </x:c>
      <x:c r="F19" s="27" t="n">
        <x:v>160</x:v>
      </x:c>
      <x:c r="G19" s="39" t="n">
        <x:v>1.4</x:v>
      </x:c>
      <x:c r="H19" s="27" t="n">
        <x:v>0.1</x:v>
      </x:c>
      <x:c r="I19" s="30" t="n">
        <x:v>0.9</x:v>
      </x:c>
      <x:c r="J19" s="27" t="n">
        <x:v>80000</x:v>
      </x:c>
      <x:c r="K19" s="27" t="n">
        <x:v>22000</x:v>
      </x:c>
      <x:c r="L19" s="27" t="n">
        <x:v>15000</x:v>
      </x:c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1,G19&lt;=4),FALSE),IF(ISNUMBER(H19),AND(H19&gt;=0,H19&lt;=1000000000000),FALSE),IF(ISNUMBER(I19),AND(I19&gt;=0,I19&lt;=1)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3000</x:v>
      </x:c>
      <x:c r="E20" s="16" t="n">
        <x:v>2200</x:v>
      </x:c>
      <x:c r="F20" s="27" t="n">
        <x:v>160</x:v>
      </x:c>
      <x:c r="G20" s="39" t="n">
        <x:v>1.4</x:v>
      </x:c>
      <x:c r="H20" s="27" t="n">
        <x:v>0.1</x:v>
      </x:c>
      <x:c r="I20" s="30" t="n">
        <x:v>0.9</x:v>
      </x:c>
      <x:c r="J20" s="27" t="n">
        <x:v>80000</x:v>
      </x:c>
      <x:c r="K20" s="27" t="n">
        <x:v>22000</x:v>
      </x:c>
      <x:c r="L20" s="27" t="n">
        <x:v>15000</x:v>
      </x:c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1,G20&lt;=4),FALSE),IF(ISNUMBER(H20),AND(H20&gt;=0,H20&lt;=1000000000000),FALSE),IF(ISNUMBER(I20),AND(I20&gt;=0,I20&lt;=1)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3000</x:v>
      </x:c>
      <x:c r="E21" s="16" t="n">
        <x:v>2200</x:v>
      </x:c>
      <x:c r="F21" s="27" t="n">
        <x:v>160</x:v>
      </x:c>
      <x:c r="G21" s="39" t="n">
        <x:v>1.4</x:v>
      </x:c>
      <x:c r="H21" s="27" t="n">
        <x:v>0.1</x:v>
      </x:c>
      <x:c r="I21" s="30" t="n">
        <x:v>0.9</x:v>
      </x:c>
      <x:c r="J21" s="27" t="n">
        <x:v>80000</x:v>
      </x:c>
      <x:c r="K21" s="27" t="n">
        <x:v>22000</x:v>
      </x:c>
      <x:c r="L21" s="27" t="n">
        <x:v>15000</x:v>
      </x:c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1,G21&lt;=4),FALSE),IF(ISNUMBER(H21),AND(H21&gt;=0,H21&lt;=1000000000000),FALSE),IF(ISNUMBER(I21),AND(I21&gt;=0,I21&lt;=1)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1</x:formula1>
      <x:formula2>4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1</x:formula1>
      <x:formula2>4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1</x:formula1>
      <x:formula2>4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1</x:formula1>
      <x:formula2>4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1</x:formula1>
      <x:formula2>4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1</x:formula1>
      <x:formula2>4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1</x:formula1>
      <x:formula2>4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1</x:formula1>
      <x:formula2>4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1</x:formula1>
      <x:formula2>4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1</x:formula1>
      <x:formula2>4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1</x:formula1>
      <x:formula2>4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1</x:formula1>
      <x:formula2>4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Billed IT load</x:v>
      </x:c>
      <x:c r="D10" s="2" t="str">
        <x:v>kW avg</x:v>
      </x:c>
      <x:c r="E10" s="49" t="n">
        <x:f>IF(COUNT(G10:R10)=12,AVERAGE(G10:R10),"n.a.")</x:f>
        <x:v>1900</x:v>
      </x:c>
      <x:c r="F10" s="2"/>
      <x:c r="G10" s="48" t="n">
        <x:f>IF(AND('Power and Contracts'!N10="OK"),IF(AND(ISNUMBER('Power and Contracts'!$D$10),ISNUMBER('Power and Contracts'!$E$10),ISNUMBER('Assumptions'!$D$61)),MIN('Power and Contracts'!$D$10,'Power and Contracts'!$E$10*'Assumptions'!$D$61),"n.a."),"n.a.")</x:f>
        <x:v>1600</x:v>
      </x:c>
      <x:c r="H10" s="48" t="n">
        <x:f>IF(AND('Power and Contracts'!N11="OK"),IF(AND(ISNUMBER('Power and Contracts'!$D$11),ISNUMBER('Power and Contracts'!$E$11),ISNUMBER('Assumptions'!$D$61)),MIN('Power and Contracts'!$D$11,'Power and Contracts'!$E$11*'Assumptions'!$D$61),"n.a."),"n.a.")</x:f>
        <x:v>1600</x:v>
      </x:c>
      <x:c r="I10" s="48" t="n">
        <x:f>IF(AND('Power and Contracts'!N12="OK"),IF(AND(ISNUMBER('Power and Contracts'!$D$12),ISNUMBER('Power and Contracts'!$E$12),ISNUMBER('Assumptions'!$D$61)),MIN('Power and Contracts'!$D$12,'Power and Contracts'!$E$12*'Assumptions'!$D$61),"n.a."),"n.a.")</x:f>
        <x:v>1600</x:v>
      </x:c>
      <x:c r="J10" s="48" t="n">
        <x:f>IF(AND('Power and Contracts'!N13="OK"),IF(AND(ISNUMBER('Power and Contracts'!$D$13),ISNUMBER('Power and Contracts'!$E$13),ISNUMBER('Assumptions'!$D$61)),MIN('Power and Contracts'!$D$13,'Power and Contracts'!$E$13*'Assumptions'!$D$61),"n.a."),"n.a.")</x:f>
        <x:v>1600</x:v>
      </x:c>
      <x:c r="K10" s="48" t="n">
        <x:f>IF(AND('Power and Contracts'!N14="OK"),IF(AND(ISNUMBER('Power and Contracts'!$D$14),ISNUMBER('Power and Contracts'!$E$14),ISNUMBER('Assumptions'!$D$61)),MIN('Power and Contracts'!$D$14,'Power and Contracts'!$E$14*'Assumptions'!$D$61),"n.a."),"n.a.")</x:f>
        <x:v>1600</x:v>
      </x:c>
      <x:c r="L10" s="48" t="n">
        <x:f>IF(AND('Power and Contracts'!N15="OK"),IF(AND(ISNUMBER('Power and Contracts'!$D$15),ISNUMBER('Power and Contracts'!$E$15),ISNUMBER('Assumptions'!$D$61)),MIN('Power and Contracts'!$D$15,'Power and Contracts'!$E$15*'Assumptions'!$D$61),"n.a."),"n.a.")</x:f>
        <x:v>1600</x:v>
      </x:c>
      <x:c r="M10" s="48" t="n">
        <x:f>IF(AND('Power and Contracts'!N16="OK"),IF(AND(ISNUMBER('Power and Contracts'!$D$16),ISNUMBER('Power and Contracts'!$E$16),ISNUMBER('Assumptions'!$D$61)),MIN('Power and Contracts'!$D$16,'Power and Contracts'!$E$16*'Assumptions'!$D$61),"n.a."),"n.a.")</x:f>
        <x:v>2200</x:v>
      </x:c>
      <x:c r="N10" s="48" t="n">
        <x:f>IF(AND('Power and Contracts'!N17="OK"),IF(AND(ISNUMBER('Power and Contracts'!$D$17),ISNUMBER('Power and Contracts'!$E$17),ISNUMBER('Assumptions'!$D$61)),MIN('Power and Contracts'!$D$17,'Power and Contracts'!$E$17*'Assumptions'!$D$61),"n.a."),"n.a.")</x:f>
        <x:v>2200</x:v>
      </x:c>
      <x:c r="O10" s="48" t="n">
        <x:f>IF(AND('Power and Contracts'!N18="OK"),IF(AND(ISNUMBER('Power and Contracts'!$D$18),ISNUMBER('Power and Contracts'!$E$18),ISNUMBER('Assumptions'!$D$61)),MIN('Power and Contracts'!$D$18,'Power and Contracts'!$E$18*'Assumptions'!$D$61),"n.a."),"n.a.")</x:f>
        <x:v>2200</x:v>
      </x:c>
      <x:c r="P10" s="48" t="n">
        <x:f>IF(AND('Power and Contracts'!N19="OK"),IF(AND(ISNUMBER('Power and Contracts'!$D$19),ISNUMBER('Power and Contracts'!$E$19),ISNUMBER('Assumptions'!$D$61)),MIN('Power and Contracts'!$D$19,'Power and Contracts'!$E$19*'Assumptions'!$D$61),"n.a."),"n.a.")</x:f>
        <x:v>2200</x:v>
      </x:c>
      <x:c r="Q10" s="48" t="n">
        <x:f>IF(AND('Power and Contracts'!N20="OK"),IF(AND(ISNUMBER('Power and Contracts'!$D$20),ISNUMBER('Power and Contracts'!$E$20),ISNUMBER('Assumptions'!$D$61)),MIN('Power and Contracts'!$D$20,'Power and Contracts'!$E$20*'Assumptions'!$D$61),"n.a."),"n.a.")</x:f>
        <x:v>2200</x:v>
      </x:c>
      <x:c r="R10" s="48" t="n">
        <x:f>IF(AND('Power and Contracts'!N21="OK"),IF(AND(ISNUMBER('Power and Contracts'!$D$21),ISNUMBER('Power and Contracts'!$E$21),ISNUMBER('Assumptions'!$D$61)),MIN('Power and Contracts'!$D$21,'Power and Contracts'!$E$21*'Assumptions'!$D$61),"n.a."),"n.a.")</x:f>
        <x:v>2200</x:v>
      </x:c>
    </x:row>
    <x:row r="11" ht="21" customHeight="1">
      <x:c r="A11" s="2"/>
      <x:c r="B11" s="2"/>
      <x:c r="C11" s="2" t="str">
        <x:v>Contract rent</x:v>
      </x:c>
      <x:c r="D11" s="2" t="str">
        <x:v>USD</x:v>
      </x:c>
      <x:c r="E11" s="52" t="n">
        <x:f>IF(COUNT(G11:R11)=12,SUM(G11:R11),"n.a.")</x:f>
        <x:v>3648000</x:v>
      </x:c>
      <x:c r="F11" s="2"/>
      <x:c r="G11" s="51" t="n">
        <x:f>IF(AND('Power and Contracts'!N10="OK"),IF(AND(ISNUMBER(G10),ISNUMBER('Power and Contracts'!$F$10),ISNUMBER('Assumptions'!$D$64)),G10*'Power and Contracts'!$F$10*'Assumptions'!$D$64,"n.a."),"n.a.")</x:f>
        <x:v>256000</x:v>
      </x:c>
      <x:c r="H11" s="51" t="n">
        <x:f>IF(AND('Power and Contracts'!N11="OK"),IF(AND(ISNUMBER(H10),ISNUMBER('Power and Contracts'!$F$11),ISNUMBER('Assumptions'!$D$64)),H10*'Power and Contracts'!$F$11*'Assumptions'!$D$64,"n.a."),"n.a.")</x:f>
        <x:v>256000</x:v>
      </x:c>
      <x:c r="I11" s="51" t="n">
        <x:f>IF(AND('Power and Contracts'!N12="OK"),IF(AND(ISNUMBER(I10),ISNUMBER('Power and Contracts'!$F$12),ISNUMBER('Assumptions'!$D$64)),I10*'Power and Contracts'!$F$12*'Assumptions'!$D$64,"n.a."),"n.a.")</x:f>
        <x:v>256000</x:v>
      </x:c>
      <x:c r="J11" s="51" t="n">
        <x:f>IF(AND('Power and Contracts'!N13="OK"),IF(AND(ISNUMBER(J10),ISNUMBER('Power and Contracts'!$F$13),ISNUMBER('Assumptions'!$D$64)),J10*'Power and Contracts'!$F$13*'Assumptions'!$D$64,"n.a."),"n.a.")</x:f>
        <x:v>256000</x:v>
      </x:c>
      <x:c r="K11" s="51" t="n">
        <x:f>IF(AND('Power and Contracts'!N14="OK"),IF(AND(ISNUMBER(K10),ISNUMBER('Power and Contracts'!$F$14),ISNUMBER('Assumptions'!$D$64)),K10*'Power and Contracts'!$F$14*'Assumptions'!$D$64,"n.a."),"n.a.")</x:f>
        <x:v>256000</x:v>
      </x:c>
      <x:c r="L11" s="51" t="n">
        <x:f>IF(AND('Power and Contracts'!N15="OK"),IF(AND(ISNUMBER(L10),ISNUMBER('Power and Contracts'!$F$15),ISNUMBER('Assumptions'!$D$64)),L10*'Power and Contracts'!$F$15*'Assumptions'!$D$64,"n.a."),"n.a.")</x:f>
        <x:v>256000</x:v>
      </x:c>
      <x:c r="M11" s="51" t="n">
        <x:f>IF(AND('Power and Contracts'!N16="OK"),IF(AND(ISNUMBER(M10),ISNUMBER('Power and Contracts'!$F$16),ISNUMBER('Assumptions'!$D$64)),M10*'Power and Contracts'!$F$16*'Assumptions'!$D$64,"n.a."),"n.a.")</x:f>
        <x:v>352000</x:v>
      </x:c>
      <x:c r="N11" s="51" t="n">
        <x:f>IF(AND('Power and Contracts'!N17="OK"),IF(AND(ISNUMBER(N10),ISNUMBER('Power and Contracts'!$F$17),ISNUMBER('Assumptions'!$D$64)),N10*'Power and Contracts'!$F$17*'Assumptions'!$D$64,"n.a."),"n.a.")</x:f>
        <x:v>352000</x:v>
      </x:c>
      <x:c r="O11" s="51" t="n">
        <x:f>IF(AND('Power and Contracts'!N18="OK"),IF(AND(ISNUMBER(O10),ISNUMBER('Power and Contracts'!$F$18),ISNUMBER('Assumptions'!$D$64)),O10*'Power and Contracts'!$F$18*'Assumptions'!$D$64,"n.a."),"n.a.")</x:f>
        <x:v>352000</x:v>
      </x:c>
      <x:c r="P11" s="51" t="n">
        <x:f>IF(AND('Power and Contracts'!N19="OK"),IF(AND(ISNUMBER(P10),ISNUMBER('Power and Contracts'!$F$19),ISNUMBER('Assumptions'!$D$64)),P10*'Power and Contracts'!$F$19*'Assumptions'!$D$64,"n.a."),"n.a.")</x:f>
        <x:v>352000</x:v>
      </x:c>
      <x:c r="Q11" s="51" t="n">
        <x:f>IF(AND('Power and Contracts'!N20="OK"),IF(AND(ISNUMBER(Q10),ISNUMBER('Power and Contracts'!$F$20),ISNUMBER('Assumptions'!$D$64)),Q10*'Power and Contracts'!$F$20*'Assumptions'!$D$64,"n.a."),"n.a.")</x:f>
        <x:v>352000</x:v>
      </x:c>
      <x:c r="R11" s="51" t="n">
        <x:f>IF(AND('Power and Contracts'!N21="OK"),IF(AND(ISNUMBER(R10),ISNUMBER('Power and Contracts'!$F$21),ISNUMBER('Assumptions'!$D$64)),R10*'Power and Contracts'!$F$21*'Assumptions'!$D$64,"n.a."),"n.a.")</x:f>
        <x:v>352000</x:v>
      </x:c>
    </x:row>
    <x:row r="12" ht="21" customHeight="1">
      <x:c r="A12" s="2"/>
      <x:c r="B12" s="2"/>
      <x:c r="C12" s="2" t="str">
        <x:v>Facility energy expense</x:v>
      </x:c>
      <x:c r="D12" s="2" t="str">
        <x:v>USD</x:v>
      </x:c>
      <x:c r="E12" s="52" t="n">
        <x:f>IF(COUNT(G12:R12)=12,SUM(G12:R12),"n.a.")</x:f>
        <x:v>2333184</x:v>
      </x:c>
      <x:c r="F12" s="2"/>
      <x:c r="G12" s="51" t="n">
        <x:f>IF(AND('Power and Contracts'!N10="OK"),IF(AND(ISNUMBER(G10),ISNUMBER('Power and Contracts'!$G$10),ISNUMBER(G$9),ISNUMBER('Power and Contracts'!$H$10),ISNUMBER('Assumptions'!$D$67)),G10*'Power and Contracts'!$G$10*24*DAY(EOMONTH(G$9,0))*'Power and Contracts'!$H$10*'Assumptions'!$D$67,"n.a."),"n.a.")</x:f>
        <x:v>166656</x:v>
      </x:c>
      <x:c r="H12" s="51" t="n">
        <x:f>IF(AND('Power and Contracts'!N11="OK"),IF(AND(ISNUMBER(H10),ISNUMBER('Power and Contracts'!$G$11),ISNUMBER(H$9),ISNUMBER('Power and Contracts'!$H$11),ISNUMBER('Assumptions'!$D$67)),H10*'Power and Contracts'!$G$11*24*DAY(EOMONTH(H$9,0))*'Power and Contracts'!$H$11*'Assumptions'!$D$67,"n.a."),"n.a.")</x:f>
        <x:v>150528</x:v>
      </x:c>
      <x:c r="I12" s="51" t="n">
        <x:f>IF(AND('Power and Contracts'!N12="OK"),IF(AND(ISNUMBER(I10),ISNUMBER('Power and Contracts'!$G$12),ISNUMBER(I$9),ISNUMBER('Power and Contracts'!$H$12),ISNUMBER('Assumptions'!$D$67)),I10*'Power and Contracts'!$G$12*24*DAY(EOMONTH(I$9,0))*'Power and Contracts'!$H$12*'Assumptions'!$D$67,"n.a."),"n.a.")</x:f>
        <x:v>166656</x:v>
      </x:c>
      <x:c r="J12" s="51" t="n">
        <x:f>IF(AND('Power and Contracts'!N13="OK"),IF(AND(ISNUMBER(J10),ISNUMBER('Power and Contracts'!$G$13),ISNUMBER(J$9),ISNUMBER('Power and Contracts'!$H$13),ISNUMBER('Assumptions'!$D$67)),J10*'Power and Contracts'!$G$13*24*DAY(EOMONTH(J$9,0))*'Power and Contracts'!$H$13*'Assumptions'!$D$67,"n.a."),"n.a.")</x:f>
        <x:v>161280</x:v>
      </x:c>
      <x:c r="K12" s="51" t="n">
        <x:f>IF(AND('Power and Contracts'!N14="OK"),IF(AND(ISNUMBER(K10),ISNUMBER('Power and Contracts'!$G$14),ISNUMBER(K$9),ISNUMBER('Power and Contracts'!$H$14),ISNUMBER('Assumptions'!$D$67)),K10*'Power and Contracts'!$G$14*24*DAY(EOMONTH(K$9,0))*'Power and Contracts'!$H$14*'Assumptions'!$D$67,"n.a."),"n.a.")</x:f>
        <x:v>166656</x:v>
      </x:c>
      <x:c r="L12" s="51" t="n">
        <x:f>IF(AND('Power and Contracts'!N15="OK"),IF(AND(ISNUMBER(L10),ISNUMBER('Power and Contracts'!$G$15),ISNUMBER(L$9),ISNUMBER('Power and Contracts'!$H$15),ISNUMBER('Assumptions'!$D$67)),L10*'Power and Contracts'!$G$15*24*DAY(EOMONTH(L$9,0))*'Power and Contracts'!$H$15*'Assumptions'!$D$67,"n.a."),"n.a.")</x:f>
        <x:v>161280</x:v>
      </x:c>
      <x:c r="M12" s="51" t="n">
        <x:f>IF(AND('Power and Contracts'!N16="OK"),IF(AND(ISNUMBER(M10),ISNUMBER('Power and Contracts'!$G$16),ISNUMBER(M$9),ISNUMBER('Power and Contracts'!$H$16),ISNUMBER('Assumptions'!$D$67)),M10*'Power and Contracts'!$G$16*24*DAY(EOMONTH(M$9,0))*'Power and Contracts'!$H$16*'Assumptions'!$D$67,"n.a."),"n.a.")</x:f>
        <x:v>229152</x:v>
      </x:c>
      <x:c r="N12" s="51" t="n">
        <x:f>IF(AND('Power and Contracts'!N17="OK"),IF(AND(ISNUMBER(N10),ISNUMBER('Power and Contracts'!$G$17),ISNUMBER(N$9),ISNUMBER('Power and Contracts'!$H$17),ISNUMBER('Assumptions'!$D$67)),N10*'Power and Contracts'!$G$17*24*DAY(EOMONTH(N$9,0))*'Power and Contracts'!$H$17*'Assumptions'!$D$67,"n.a."),"n.a.")</x:f>
        <x:v>229152</x:v>
      </x:c>
      <x:c r="O12" s="51" t="n">
        <x:f>IF(AND('Power and Contracts'!N18="OK"),IF(AND(ISNUMBER(O10),ISNUMBER('Power and Contracts'!$G$18),ISNUMBER(O$9),ISNUMBER('Power and Contracts'!$H$18),ISNUMBER('Assumptions'!$D$67)),O10*'Power and Contracts'!$G$18*24*DAY(EOMONTH(O$9,0))*'Power and Contracts'!$H$18*'Assumptions'!$D$67,"n.a."),"n.a.")</x:f>
        <x:v>221760</x:v>
      </x:c>
      <x:c r="P12" s="51" t="n">
        <x:f>IF(AND('Power and Contracts'!N19="OK"),IF(AND(ISNUMBER(P10),ISNUMBER('Power and Contracts'!$G$19),ISNUMBER(P$9),ISNUMBER('Power and Contracts'!$H$19),ISNUMBER('Assumptions'!$D$67)),P10*'Power and Contracts'!$G$19*24*DAY(EOMONTH(P$9,0))*'Power and Contracts'!$H$19*'Assumptions'!$D$67,"n.a."),"n.a.")</x:f>
        <x:v>229152</x:v>
      </x:c>
      <x:c r="Q12" s="51" t="n">
        <x:f>IF(AND('Power and Contracts'!N20="OK"),IF(AND(ISNUMBER(Q10),ISNUMBER('Power and Contracts'!$G$20),ISNUMBER(Q$9),ISNUMBER('Power and Contracts'!$H$20),ISNUMBER('Assumptions'!$D$67)),Q10*'Power and Contracts'!$G$20*24*DAY(EOMONTH(Q$9,0))*'Power and Contracts'!$H$20*'Assumptions'!$D$67,"n.a."),"n.a.")</x:f>
        <x:v>221760</x:v>
      </x:c>
      <x:c r="R12" s="51" t="n">
        <x:f>IF(AND('Power and Contracts'!N21="OK"),IF(AND(ISNUMBER(R10),ISNUMBER('Power and Contracts'!$G$21),ISNUMBER(R$9),ISNUMBER('Power and Contracts'!$H$21),ISNUMBER('Assumptions'!$D$67)),R10*'Power and Contracts'!$G$21*24*DAY(EOMONTH(R$9,0))*'Power and Contracts'!$H$21*'Assumptions'!$D$67,"n.a."),"n.a.")</x:f>
        <x:v>229152</x:v>
      </x:c>
    </x:row>
    <x:row r="13" ht="21" customHeight="1">
      <x:c r="A13" s="2"/>
      <x:c r="B13" s="2"/>
      <x:c r="C13" s="57" t="str">
        <x:v>Contract rent and energy recovery</x:v>
      </x:c>
      <x:c r="D13" s="57" t="str">
        <x:v>USD</x:v>
      </x:c>
      <x:c r="E13" s="58" t="n">
        <x:f>IF(COUNT(G13:R13)=12,SUM(G13:R13),"n.a.")</x:f>
        <x:v>5747865.6</x:v>
      </x:c>
      <x:c r="F13" s="57"/>
      <x:c r="G13" s="59" t="n">
        <x:f>IF(AND('Power and Contracts'!N10="OK"),IF(AND(ISNUMBER(G11),ISNUMBER(G12),ISNUMBER('Power and Contracts'!$I$10)),G11+G12*'Power and Contracts'!$I$10,"n.a."),"n.a.")</x:f>
        <x:v>405990.4</x:v>
      </x:c>
      <x:c r="H13" s="59" t="n">
        <x:f>IF(AND('Power and Contracts'!N11="OK"),IF(AND(ISNUMBER(H11),ISNUMBER(H12),ISNUMBER('Power and Contracts'!$I$11)),H11+H12*'Power and Contracts'!$I$11,"n.a."),"n.a.")</x:f>
        <x:v>391475.2</x:v>
      </x:c>
      <x:c r="I13" s="59" t="n">
        <x:f>IF(AND('Power and Contracts'!N12="OK"),IF(AND(ISNUMBER(I11),ISNUMBER(I12),ISNUMBER('Power and Contracts'!$I$12)),I11+I12*'Power and Contracts'!$I$12,"n.a."),"n.a.")</x:f>
        <x:v>405990.4</x:v>
      </x:c>
      <x:c r="J13" s="59" t="n">
        <x:f>IF(AND('Power and Contracts'!N13="OK"),IF(AND(ISNUMBER(J11),ISNUMBER(J12),ISNUMBER('Power and Contracts'!$I$13)),J11+J12*'Power and Contracts'!$I$13,"n.a."),"n.a.")</x:f>
        <x:v>401152</x:v>
      </x:c>
      <x:c r="K13" s="59" t="n">
        <x:f>IF(AND('Power and Contracts'!N14="OK"),IF(AND(ISNUMBER(K11),ISNUMBER(K12),ISNUMBER('Power and Contracts'!$I$14)),K11+K12*'Power and Contracts'!$I$14,"n.a."),"n.a.")</x:f>
        <x:v>405990.4</x:v>
      </x:c>
      <x:c r="L13" s="59" t="n">
        <x:f>IF(AND('Power and Contracts'!N15="OK"),IF(AND(ISNUMBER(L11),ISNUMBER(L12),ISNUMBER('Power and Contracts'!$I$15)),L11+L12*'Power and Contracts'!$I$15,"n.a."),"n.a.")</x:f>
        <x:v>401152</x:v>
      </x:c>
      <x:c r="M13" s="59" t="n">
        <x:f>IF(AND('Power and Contracts'!N16="OK"),IF(AND(ISNUMBER(M11),ISNUMBER(M12),ISNUMBER('Power and Contracts'!$I$16)),M11+M12*'Power and Contracts'!$I$16,"n.a."),"n.a.")</x:f>
        <x:v>558236.8</x:v>
      </x:c>
      <x:c r="N13" s="59" t="n">
        <x:f>IF(AND('Power and Contracts'!N17="OK"),IF(AND(ISNUMBER(N11),ISNUMBER(N12),ISNUMBER('Power and Contracts'!$I$17)),N11+N12*'Power and Contracts'!$I$17,"n.a."),"n.a.")</x:f>
        <x:v>558236.8</x:v>
      </x:c>
      <x:c r="O13" s="59" t="n">
        <x:f>IF(AND('Power and Contracts'!N18="OK"),IF(AND(ISNUMBER(O11),ISNUMBER(O12),ISNUMBER('Power and Contracts'!$I$18)),O11+O12*'Power and Contracts'!$I$18,"n.a."),"n.a.")</x:f>
        <x:v>551584</x:v>
      </x:c>
      <x:c r="P13" s="59" t="n">
        <x:f>IF(AND('Power and Contracts'!N19="OK"),IF(AND(ISNUMBER(P11),ISNUMBER(P12),ISNUMBER('Power and Contracts'!$I$19)),P11+P12*'Power and Contracts'!$I$19,"n.a."),"n.a.")</x:f>
        <x:v>558236.8</x:v>
      </x:c>
      <x:c r="Q13" s="59" t="n">
        <x:f>IF(AND('Power and Contracts'!N20="OK"),IF(AND(ISNUMBER(Q11),ISNUMBER(Q12),ISNUMBER('Power and Contracts'!$I$20)),Q11+Q12*'Power and Contracts'!$I$20,"n.a."),"n.a.")</x:f>
        <x:v>551584</x:v>
      </x:c>
      <x:c r="R13" s="59" t="n">
        <x:f>IF(AND('Power and Contracts'!N21="OK"),IF(AND(ISNUMBER(R11),ISNUMBER(R12),ISNUMBER('Power and Contracts'!$I$21)),R11+R12*'Power and Contracts'!$I$21,"n.a."),"n.a.")</x:f>
        <x:v>558236.8</x:v>
      </x:c>
    </x:row>
    <x:row r="14" ht="21" customHeight="1">
      <x:c r="A14" s="2"/>
      <x:c r="B14" s="2"/>
      <x:c r="C14" s="2" t="str">
        <x:v>Energy, technical payroll and services</x:v>
      </x:c>
      <x:c r="D14" s="2" t="str">
        <x:v>USD</x:v>
      </x:c>
      <x:c r="E14" s="52" t="n">
        <x:f>IF(COUNT(G14:R14)=12,SUM(G14:R14),"n.a.")</x:f>
        <x:v>3557184</x:v>
      </x:c>
      <x:c r="F14" s="2"/>
      <x:c r="G14" s="51" t="n">
        <x:f>IF(AND('Power and Contracts'!N10="OK"),IF(AND(ISNUMBER(G12),ISNUMBER('Power and Contracts'!$J$10),ISNUMBER('Power and Contracts'!$K$10),ISNUMBER('Assumptions'!$D$67)),G12+('Power and Contracts'!$J$10+'Power and Contracts'!$K$10)*'Assumptions'!$D$67,"n.a."),"n.a.")</x:f>
        <x:v>268656</x:v>
      </x:c>
      <x:c r="H14" s="51" t="n">
        <x:f>IF(AND('Power and Contracts'!N11="OK"),IF(AND(ISNUMBER(H12),ISNUMBER('Power and Contracts'!$J$11),ISNUMBER('Power and Contracts'!$K$11),ISNUMBER('Assumptions'!$D$67)),H12+('Power and Contracts'!$J$11+'Power and Contracts'!$K$11)*'Assumptions'!$D$67,"n.a."),"n.a.")</x:f>
        <x:v>252528</x:v>
      </x:c>
      <x:c r="I14" s="51" t="n">
        <x:f>IF(AND('Power and Contracts'!N12="OK"),IF(AND(ISNUMBER(I12),ISNUMBER('Power and Contracts'!$J$12),ISNUMBER('Power and Contracts'!$K$12),ISNUMBER('Assumptions'!$D$67)),I12+('Power and Contracts'!$J$12+'Power and Contracts'!$K$12)*'Assumptions'!$D$67,"n.a."),"n.a.")</x:f>
        <x:v>268656</x:v>
      </x:c>
      <x:c r="J14" s="51" t="n">
        <x:f>IF(AND('Power and Contracts'!N13="OK"),IF(AND(ISNUMBER(J12),ISNUMBER('Power and Contracts'!$J$13),ISNUMBER('Power and Contracts'!$K$13),ISNUMBER('Assumptions'!$D$67)),J12+('Power and Contracts'!$J$13+'Power and Contracts'!$K$13)*'Assumptions'!$D$67,"n.a."),"n.a.")</x:f>
        <x:v>263280</x:v>
      </x:c>
      <x:c r="K14" s="51" t="n">
        <x:f>IF(AND('Power and Contracts'!N14="OK"),IF(AND(ISNUMBER(K12),ISNUMBER('Power and Contracts'!$J$14),ISNUMBER('Power and Contracts'!$K$14),ISNUMBER('Assumptions'!$D$67)),K12+('Power and Contracts'!$J$14+'Power and Contracts'!$K$14)*'Assumptions'!$D$67,"n.a."),"n.a.")</x:f>
        <x:v>268656</x:v>
      </x:c>
      <x:c r="L14" s="51" t="n">
        <x:f>IF(AND('Power and Contracts'!N15="OK"),IF(AND(ISNUMBER(L12),ISNUMBER('Power and Contracts'!$J$15),ISNUMBER('Power and Contracts'!$K$15),ISNUMBER('Assumptions'!$D$67)),L12+('Power and Contracts'!$J$15+'Power and Contracts'!$K$15)*'Assumptions'!$D$67,"n.a."),"n.a.")</x:f>
        <x:v>263280</x:v>
      </x:c>
      <x:c r="M14" s="51" t="n">
        <x:f>IF(AND('Power and Contracts'!N16="OK"),IF(AND(ISNUMBER(M12),ISNUMBER('Power and Contracts'!$J$16),ISNUMBER('Power and Contracts'!$K$16),ISNUMBER('Assumptions'!$D$67)),M12+('Power and Contracts'!$J$16+'Power and Contracts'!$K$16)*'Assumptions'!$D$67,"n.a."),"n.a.")</x:f>
        <x:v>331152</x:v>
      </x:c>
      <x:c r="N14" s="51" t="n">
        <x:f>IF(AND('Power and Contracts'!N17="OK"),IF(AND(ISNUMBER(N12),ISNUMBER('Power and Contracts'!$J$17),ISNUMBER('Power and Contracts'!$K$17),ISNUMBER('Assumptions'!$D$67)),N12+('Power and Contracts'!$J$17+'Power and Contracts'!$K$17)*'Assumptions'!$D$67,"n.a."),"n.a.")</x:f>
        <x:v>331152</x:v>
      </x:c>
      <x:c r="O14" s="51" t="n">
        <x:f>IF(AND('Power and Contracts'!N18="OK"),IF(AND(ISNUMBER(O12),ISNUMBER('Power and Contracts'!$J$18),ISNUMBER('Power and Contracts'!$K$18),ISNUMBER('Assumptions'!$D$67)),O12+('Power and Contracts'!$J$18+'Power and Contracts'!$K$18)*'Assumptions'!$D$67,"n.a."),"n.a.")</x:f>
        <x:v>323760</x:v>
      </x:c>
      <x:c r="P14" s="51" t="n">
        <x:f>IF(AND('Power and Contracts'!N19="OK"),IF(AND(ISNUMBER(P12),ISNUMBER('Power and Contracts'!$J$19),ISNUMBER('Power and Contracts'!$K$19),ISNUMBER('Assumptions'!$D$67)),P12+('Power and Contracts'!$J$19+'Power and Contracts'!$K$19)*'Assumptions'!$D$67,"n.a."),"n.a.")</x:f>
        <x:v>331152</x:v>
      </x:c>
      <x:c r="Q14" s="51" t="n">
        <x:f>IF(AND('Power and Contracts'!N20="OK"),IF(AND(ISNUMBER(Q12),ISNUMBER('Power and Contracts'!$J$20),ISNUMBER('Power and Contracts'!$K$20),ISNUMBER('Assumptions'!$D$67)),Q12+('Power and Contracts'!$J$20+'Power and Contracts'!$K$20)*'Assumptions'!$D$67,"n.a."),"n.a.")</x:f>
        <x:v>323760</x:v>
      </x:c>
      <x:c r="R14" s="51" t="n">
        <x:f>IF(AND('Power and Contracts'!N21="OK"),IF(AND(ISNUMBER(R12),ISNUMBER('Power and Contracts'!$J$21),ISNUMBER('Power and Contracts'!$K$21),ISNUMBER('Assumptions'!$D$67)),R12+('Power and Contracts'!$J$21+'Power and Contracts'!$K$21)*'Assumptions'!$D$67,"n.a."),"n.a.")</x:f>
        <x:v>331152</x:v>
      </x:c>
    </x:row>
    <x:row r="15" ht="21" customHeight="1">
      <x:c r="A15" s="2"/>
      <x:c r="B15" s="2"/>
      <x:c r="C15" s="2" t="str">
        <x:v>Power and equipment capital</x:v>
      </x:c>
      <x:c r="D15" s="2" t="str">
        <x:v>USD</x:v>
      </x:c>
      <x:c r="E15" s="52" t="n">
        <x:f>IF(COUNT(G15:R15)=12,SUM(G15:R15),"n.a.")</x:f>
        <x:v>765000</x:v>
      </x:c>
      <x:c r="F15" s="2"/>
      <x:c r="G15" s="51" t="n">
        <x:f>IF(AND('Power and Contracts'!N10="OK"),IF(AND(ISNUMBER('Power and Contracts'!$L$10),ISNUMBER('Assumptions'!$D$70)),'Power and Contracts'!$L$10*'Assumptions'!$D$70,"n.a."),"n.a.")</x:f>
        <x:v>15000</x:v>
      </x:c>
      <x:c r="H15" s="51" t="n">
        <x:f>IF(AND('Power and Contracts'!N11="OK"),IF(AND(ISNUMBER('Power and Contracts'!$L$11),ISNUMBER('Assumptions'!$D$70)),'Power and Contracts'!$L$11*'Assumptions'!$D$70,"n.a."),"n.a.")</x:f>
        <x:v>15000</x:v>
      </x:c>
      <x:c r="I15" s="51" t="n">
        <x:f>IF(AND('Power and Contracts'!N12="OK"),IF(AND(ISNUMBER('Power and Contracts'!$L$12),ISNUMBER('Assumptions'!$D$70)),'Power and Contracts'!$L$12*'Assumptions'!$D$70,"n.a."),"n.a.")</x:f>
        <x:v>15000</x:v>
      </x:c>
      <x:c r="J15" s="51" t="n">
        <x:f>IF(AND('Power and Contracts'!N13="OK"),IF(AND(ISNUMBER('Power and Contracts'!$L$13),ISNUMBER('Assumptions'!$D$70)),'Power and Contracts'!$L$13*'Assumptions'!$D$70,"n.a."),"n.a.")</x:f>
        <x:v>15000</x:v>
      </x:c>
      <x:c r="K15" s="51" t="n">
        <x:f>IF(AND('Power and Contracts'!N14="OK"),IF(AND(ISNUMBER('Power and Contracts'!$L$14),ISNUMBER('Assumptions'!$D$70)),'Power and Contracts'!$L$14*'Assumptions'!$D$70,"n.a."),"n.a.")</x:f>
        <x:v>15000</x:v>
      </x:c>
      <x:c r="L15" s="51" t="n">
        <x:f>IF(AND('Power and Contracts'!N15="OK"),IF(AND(ISNUMBER('Power and Contracts'!$L$15),ISNUMBER('Assumptions'!$D$70)),'Power and Contracts'!$L$15*'Assumptions'!$D$70,"n.a."),"n.a.")</x:f>
        <x:v>600000</x:v>
      </x:c>
      <x:c r="M15" s="51" t="n">
        <x:f>IF(AND('Power and Contracts'!N16="OK"),IF(AND(ISNUMBER('Power and Contracts'!$L$16),ISNUMBER('Assumptions'!$D$70)),'Power and Contracts'!$L$16*'Assumptions'!$D$70,"n.a."),"n.a.")</x:f>
        <x:v>15000</x:v>
      </x:c>
      <x:c r="N15" s="51" t="n">
        <x:f>IF(AND('Power and Contracts'!N17="OK"),IF(AND(ISNUMBER('Power and Contracts'!$L$17),ISNUMBER('Assumptions'!$D$70)),'Power and Contracts'!$L$17*'Assumptions'!$D$70,"n.a."),"n.a.")</x:f>
        <x:v>15000</x:v>
      </x:c>
      <x:c r="O15" s="51" t="n">
        <x:f>IF(AND('Power and Contracts'!N18="OK"),IF(AND(ISNUMBER('Power and Contracts'!$L$18),ISNUMBER('Assumptions'!$D$70)),'Power and Contracts'!$L$18*'Assumptions'!$D$70,"n.a."),"n.a.")</x:f>
        <x:v>15000</x:v>
      </x:c>
      <x:c r="P15" s="51" t="n">
        <x:f>IF(AND('Power and Contracts'!N19="OK"),IF(AND(ISNUMBER('Power and Contracts'!$L$19),ISNUMBER('Assumptions'!$D$70)),'Power and Contracts'!$L$19*'Assumptions'!$D$70,"n.a."),"n.a.")</x:f>
        <x:v>15000</x:v>
      </x:c>
      <x:c r="Q15" s="51" t="n">
        <x:f>IF(AND('Power and Contracts'!N20="OK"),IF(AND(ISNUMBER('Power and Contracts'!$L$20),ISNUMBER('Assumptions'!$D$70)),'Power and Contracts'!$L$20*'Assumptions'!$D$70,"n.a."),"n.a.")</x:f>
        <x:v>15000</x:v>
      </x:c>
      <x:c r="R15" s="51" t="n">
        <x:f>IF(AND('Power and Contracts'!N21="OK"),IF(AND(ISNUMBER('Power and Contracts'!$L$21),ISNUMBER('Assumptions'!$D$70)),'Power and Contracts'!$L$21*'Assumptions'!$D$70,"n.a."),"n.a.")</x:f>
        <x:v>15000</x:v>
      </x:c>
    </x:row>
    <x:row r="16" ht="21" customHeight="1">
      <x:c r="A16" s="2"/>
      <x:c r="B16" s="2"/>
      <x:c r="C16" s="2" t="str">
        <x:v>Fixed property / entity costs</x:v>
      </x:c>
      <x:c r="D16" s="2" t="str">
        <x:v>USD</x:v>
      </x:c>
      <x:c r="E16" s="52" t="n">
        <x:f>IF(COUNT(G16:R16)=12,SUM(G16:R16),"n.a.")</x:f>
        <x:v>300000</x:v>
      </x:c>
      <x:c r="F16" s="2"/>
      <x:c r="G16" s="51" t="n">
        <x:f>IF(AND(ISNUMBER('Assumptions'!$D$55)),'Assumptions'!$D$55/12,"n.a.")</x:f>
        <x:v>25000</x:v>
      </x:c>
      <x:c r="H16" s="51" t="n">
        <x:f>IF(AND(ISNUMBER('Assumptions'!$D$55)),'Assumptions'!$D$55/12,"n.a.")</x:f>
        <x:v>25000</x:v>
      </x:c>
      <x:c r="I16" s="51" t="n">
        <x:f>IF(AND(ISNUMBER('Assumptions'!$D$55)),'Assumptions'!$D$55/12,"n.a.")</x:f>
        <x:v>25000</x:v>
      </x:c>
      <x:c r="J16" s="51" t="n">
        <x:f>IF(AND(ISNUMBER('Assumptions'!$D$55)),'Assumptions'!$D$55/12,"n.a.")</x:f>
        <x:v>25000</x:v>
      </x:c>
      <x:c r="K16" s="51" t="n">
        <x:f>IF(AND(ISNUMBER('Assumptions'!$D$55)),'Assumptions'!$D$55/12,"n.a.")</x:f>
        <x:v>25000</x:v>
      </x:c>
      <x:c r="L16" s="51" t="n">
        <x:f>IF(AND(ISNUMBER('Assumptions'!$D$55)),'Assumptions'!$D$55/12,"n.a.")</x:f>
        <x:v>25000</x:v>
      </x:c>
      <x:c r="M16" s="51" t="n">
        <x:f>IF(AND(ISNUMBER('Assumptions'!$D$55)),'Assumptions'!$D$55/12,"n.a.")</x:f>
        <x:v>25000</x:v>
      </x:c>
      <x:c r="N16" s="51" t="n">
        <x:f>IF(AND(ISNUMBER('Assumptions'!$D$55)),'Assumptions'!$D$55/12,"n.a.")</x:f>
        <x:v>25000</x:v>
      </x:c>
      <x:c r="O16" s="51" t="n">
        <x:f>IF(AND(ISNUMBER('Assumptions'!$D$55)),'Assumptions'!$D$55/12,"n.a.")</x:f>
        <x:v>25000</x:v>
      </x:c>
      <x:c r="P16" s="51" t="n">
        <x:f>IF(AND(ISNUMBER('Assumptions'!$D$55)),'Assumptions'!$D$55/12,"n.a.")</x:f>
        <x:v>25000</x:v>
      </x:c>
      <x:c r="Q16" s="51" t="n">
        <x:f>IF(AND(ISNUMBER('Assumptions'!$D$55)),'Assumptions'!$D$55/12,"n.a.")</x:f>
        <x:v>25000</x:v>
      </x:c>
      <x:c r="R16" s="51" t="n">
        <x:f>IF(AND(ISNUMBER('Assumptions'!$D$55)),'Assumptions'!$D$55/12,"n.a.")</x:f>
        <x:v>25000</x:v>
      </x:c>
    </x:row>
    <x:row r="17" ht="21" customHeight="1">
      <x:c r="A17" s="2"/>
      <x:c r="B17" s="2"/>
      <x:c r="C17" s="57" t="str">
        <x:v>Total cash operating costs</x:v>
      </x:c>
      <x:c r="D17" s="57" t="str">
        <x:v>USD</x:v>
      </x:c>
      <x:c r="E17" s="58" t="n">
        <x:f>IF(COUNT(G17:R17)=12,SUM(G17:R17),"n.a.")</x:f>
        <x:v>3857184</x:v>
      </x:c>
      <x:c r="F17" s="57"/>
      <x:c r="G17" s="58" t="n">
        <x:f>IF(AND(ISNUMBER(G14),ISNUMBER(G16)),G14+G16,"n.a.")</x:f>
        <x:v>293656</x:v>
      </x:c>
      <x:c r="H17" s="58" t="n">
        <x:f>IF(AND(ISNUMBER(H14),ISNUMBER(H16)),H14+H16,"n.a.")</x:f>
        <x:v>277528</x:v>
      </x:c>
      <x:c r="I17" s="58" t="n">
        <x:f>IF(AND(ISNUMBER(I14),ISNUMBER(I16)),I14+I16,"n.a.")</x:f>
        <x:v>293656</x:v>
      </x:c>
      <x:c r="J17" s="58" t="n">
        <x:f>IF(AND(ISNUMBER(J14),ISNUMBER(J16)),J14+J16,"n.a.")</x:f>
        <x:v>288280</x:v>
      </x:c>
      <x:c r="K17" s="58" t="n">
        <x:f>IF(AND(ISNUMBER(K14),ISNUMBER(K16)),K14+K16,"n.a.")</x:f>
        <x:v>293656</x:v>
      </x:c>
      <x:c r="L17" s="58" t="n">
        <x:f>IF(AND(ISNUMBER(L14),ISNUMBER(L16)),L14+L16,"n.a.")</x:f>
        <x:v>288280</x:v>
      </x:c>
      <x:c r="M17" s="58" t="n">
        <x:f>IF(AND(ISNUMBER(M14),ISNUMBER(M16)),M14+M16,"n.a.")</x:f>
        <x:v>356152</x:v>
      </x:c>
      <x:c r="N17" s="58" t="n">
        <x:f>IF(AND(ISNUMBER(N14),ISNUMBER(N16)),N14+N16,"n.a.")</x:f>
        <x:v>356152</x:v>
      </x:c>
      <x:c r="O17" s="58" t="n">
        <x:f>IF(AND(ISNUMBER(O14),ISNUMBER(O16)),O14+O16,"n.a.")</x:f>
        <x:v>348760</x:v>
      </x:c>
      <x:c r="P17" s="58" t="n">
        <x:f>IF(AND(ISNUMBER(P14),ISNUMBER(P16)),P14+P16,"n.a.")</x:f>
        <x:v>356152</x:v>
      </x:c>
      <x:c r="Q17" s="58" t="n">
        <x:f>IF(AND(ISNUMBER(Q14),ISNUMBER(Q16)),Q14+Q16,"n.a.")</x:f>
        <x:v>348760</x:v>
      </x:c>
      <x:c r="R17" s="58" t="n">
        <x:f>IF(AND(ISNUMBER(R14),ISNUMBER(R16)),R14+R16,"n.a.")</x:f>
        <x:v>356152</x:v>
      </x:c>
    </x:row>
    <x:row r="18" ht="21" customHeight="1">
      <x:c r="A18" s="2"/>
      <x:c r="B18" s="2"/>
      <x:c r="C18" s="57" t="str">
        <x:v>NOI / operating cash before reserves</x:v>
      </x:c>
      <x:c r="D18" s="57" t="str">
        <x:v>USD</x:v>
      </x:c>
      <x:c r="E18" s="58" t="n">
        <x:f>IF(COUNT(G18:R18)=12,SUM(G18:R18),"n.a.")</x:f>
        <x:v>1890681.6000000003</x:v>
      </x:c>
      <x:c r="F18" s="57"/>
      <x:c r="G18" s="58" t="n">
        <x:f>IF(AND(ISNUMBER(G13),ISNUMBER(G17)),G13-G17,"n.a.")</x:f>
        <x:v>112334.40000000002</x:v>
      </x:c>
      <x:c r="H18" s="58" t="n">
        <x:f>IF(AND(ISNUMBER(H13),ISNUMBER(H17)),H13-H17,"n.a.")</x:f>
        <x:v>113947.20000000001</x:v>
      </x:c>
      <x:c r="I18" s="58" t="n">
        <x:f>IF(AND(ISNUMBER(I13),ISNUMBER(I17)),I13-I17,"n.a.")</x:f>
        <x:v>112334.40000000002</x:v>
      </x:c>
      <x:c r="J18" s="58" t="n">
        <x:f>IF(AND(ISNUMBER(J13),ISNUMBER(J17)),J13-J17,"n.a.")</x:f>
        <x:v>112872</x:v>
      </x:c>
      <x:c r="K18" s="58" t="n">
        <x:f>IF(AND(ISNUMBER(K13),ISNUMBER(K17)),K13-K17,"n.a.")</x:f>
        <x:v>112334.40000000002</x:v>
      </x:c>
      <x:c r="L18" s="58" t="n">
        <x:f>IF(AND(ISNUMBER(L13),ISNUMBER(L17)),L13-L17,"n.a.")</x:f>
        <x:v>112872</x:v>
      </x:c>
      <x:c r="M18" s="58" t="n">
        <x:f>IF(AND(ISNUMBER(M13),ISNUMBER(M17)),M13-M17,"n.a.")</x:f>
        <x:v>202084.80000000005</x:v>
      </x:c>
      <x:c r="N18" s="58" t="n">
        <x:f>IF(AND(ISNUMBER(N13),ISNUMBER(N17)),N13-N17,"n.a.")</x:f>
        <x:v>202084.80000000005</x:v>
      </x:c>
      <x:c r="O18" s="58" t="n">
        <x:f>IF(AND(ISNUMBER(O13),ISNUMBER(O17)),O13-O17,"n.a.")</x:f>
        <x:v>202824</x:v>
      </x:c>
      <x:c r="P18" s="58" t="n">
        <x:f>IF(AND(ISNUMBER(P13),ISNUMBER(P17)),P13-P17,"n.a.")</x:f>
        <x:v>202084.80000000005</x:v>
      </x:c>
      <x:c r="Q18" s="58" t="n">
        <x:f>IF(AND(ISNUMBER(Q13),ISNUMBER(Q17)),Q13-Q17,"n.a.")</x:f>
        <x:v>202824</x:v>
      </x:c>
      <x:c r="R18" s="58" t="n">
        <x:f>IF(AND(ISNUMBER(R13),ISNUMBER(R17)),R13-R17,"n.a.")</x:f>
        <x:v>202084.80000000005</x:v>
      </x:c>
    </x:row>
    <x:row r="19" ht="21" customHeight="1">
      <x:c r="A19" s="2"/>
      <x:c r="B19" s="2"/>
      <x:c r="C19" s="2" t="str">
        <x:v>Cash replacement reserve deposits</x:v>
      </x:c>
      <x:c r="D19" s="2" t="str">
        <x:v>USD</x:v>
      </x:c>
      <x:c r="E19" s="52" t="n">
        <x:f>IF(COUNT(G19:R19)=12,SUM(G19:R19),"n.a.")</x:f>
        <x:v>172435.968</x:v>
      </x:c>
      <x:c r="F19" s="2"/>
      <x:c r="G19" s="51" t="n">
        <x:f>IF(AND(ISNUMBER(G13),ISNUMBER('Assumptions'!$D$58)),MAX(0,G13)*'Assumptions'!$D$58,"n.a.")</x:f>
        <x:v>12179.712</x:v>
      </x:c>
      <x:c r="H19" s="51" t="n">
        <x:f>IF(AND(ISNUMBER(H13),ISNUMBER('Assumptions'!$D$58)),MAX(0,H13)*'Assumptions'!$D$58,"n.a.")</x:f>
        <x:v>11744.256</x:v>
      </x:c>
      <x:c r="I19" s="51" t="n">
        <x:f>IF(AND(ISNUMBER(I13),ISNUMBER('Assumptions'!$D$58)),MAX(0,I13)*'Assumptions'!$D$58,"n.a.")</x:f>
        <x:v>12179.712</x:v>
      </x:c>
      <x:c r="J19" s="51" t="n">
        <x:f>IF(AND(ISNUMBER(J13),ISNUMBER('Assumptions'!$D$58)),MAX(0,J13)*'Assumptions'!$D$58,"n.a.")</x:f>
        <x:v>12034.56</x:v>
      </x:c>
      <x:c r="K19" s="51" t="n">
        <x:f>IF(AND(ISNUMBER(K13),ISNUMBER('Assumptions'!$D$58)),MAX(0,K13)*'Assumptions'!$D$58,"n.a.")</x:f>
        <x:v>12179.712</x:v>
      </x:c>
      <x:c r="L19" s="51" t="n">
        <x:f>IF(AND(ISNUMBER(L13),ISNUMBER('Assumptions'!$D$58)),MAX(0,L13)*'Assumptions'!$D$58,"n.a.")</x:f>
        <x:v>12034.56</x:v>
      </x:c>
      <x:c r="M19" s="51" t="n">
        <x:f>IF(AND(ISNUMBER(M13),ISNUMBER('Assumptions'!$D$58)),MAX(0,M13)*'Assumptions'!$D$58,"n.a.")</x:f>
        <x:v>16747.104</x:v>
      </x:c>
      <x:c r="N19" s="51" t="n">
        <x:f>IF(AND(ISNUMBER(N13),ISNUMBER('Assumptions'!$D$58)),MAX(0,N13)*'Assumptions'!$D$58,"n.a.")</x:f>
        <x:v>16747.104</x:v>
      </x:c>
      <x:c r="O19" s="51" t="n">
        <x:f>IF(AND(ISNUMBER(O13),ISNUMBER('Assumptions'!$D$58)),MAX(0,O13)*'Assumptions'!$D$58,"n.a.")</x:f>
        <x:v>16547.52</x:v>
      </x:c>
      <x:c r="P19" s="51" t="n">
        <x:f>IF(AND(ISNUMBER(P13),ISNUMBER('Assumptions'!$D$58)),MAX(0,P13)*'Assumptions'!$D$58,"n.a.")</x:f>
        <x:v>16747.104</x:v>
      </x:c>
      <x:c r="Q19" s="51" t="n">
        <x:f>IF(AND(ISNUMBER(Q13),ISNUMBER('Assumptions'!$D$58)),MAX(0,Q13)*'Assumptions'!$D$58,"n.a.")</x:f>
        <x:v>16547.52</x:v>
      </x:c>
      <x:c r="R19" s="51" t="n">
        <x:f>IF(AND(ISNUMBER(R13),ISNUMBER('Assumptions'!$D$58)),MAX(0,R13)*'Assumptions'!$D$58,"n.a.")</x:f>
        <x:v>16747.104</x:v>
      </x:c>
    </x:row>
    <x:row r="20" ht="21" customHeight="1">
      <x:c r="A20" s="2"/>
      <x:c r="B20" s="2"/>
      <x:c r="C20" s="57" t="str">
        <x:v>Cash NCF before property debt / capital</x:v>
      </x:c>
      <x:c r="D20" s="57" t="str">
        <x:v>USD</x:v>
      </x:c>
      <x:c r="E20" s="58" t="n">
        <x:f>IF(COUNT(G20:R20)=12,SUM(G20:R20),"n.a.")</x:f>
        <x:v>1718245.632</x:v>
      </x:c>
      <x:c r="F20" s="57"/>
      <x:c r="G20" s="58" t="n">
        <x:f>IF(AND(ISNUMBER(G18),ISNUMBER(G19)),G18-G19,"n.a.")</x:f>
        <x:v>100154.68800000002</x:v>
      </x:c>
      <x:c r="H20" s="58" t="n">
        <x:f>IF(AND(ISNUMBER(H18),ISNUMBER(H19)),H18-H19,"n.a.")</x:f>
        <x:v>102202.94400000002</x:v>
      </x:c>
      <x:c r="I20" s="58" t="n">
        <x:f>IF(AND(ISNUMBER(I18),ISNUMBER(I19)),I18-I19,"n.a.")</x:f>
        <x:v>100154.68800000002</x:v>
      </x:c>
      <x:c r="J20" s="58" t="n">
        <x:f>IF(AND(ISNUMBER(J18),ISNUMBER(J19)),J18-J19,"n.a.")</x:f>
        <x:v>100837.44</x:v>
      </x:c>
      <x:c r="K20" s="58" t="n">
        <x:f>IF(AND(ISNUMBER(K18),ISNUMBER(K19)),K18-K19,"n.a.")</x:f>
        <x:v>100154.68800000002</x:v>
      </x:c>
      <x:c r="L20" s="58" t="n">
        <x:f>IF(AND(ISNUMBER(L18),ISNUMBER(L19)),L18-L19,"n.a.")</x:f>
        <x:v>100837.44</x:v>
      </x:c>
      <x:c r="M20" s="58" t="n">
        <x:f>IF(AND(ISNUMBER(M18),ISNUMBER(M19)),M18-M19,"n.a.")</x:f>
        <x:v>185337.69600000005</x:v>
      </x:c>
      <x:c r="N20" s="58" t="n">
        <x:f>IF(AND(ISNUMBER(N18),ISNUMBER(N19)),N18-N19,"n.a.")</x:f>
        <x:v>185337.69600000005</x:v>
      </x:c>
      <x:c r="O20" s="58" t="n">
        <x:f>IF(AND(ISNUMBER(O18),ISNUMBER(O19)),O18-O19,"n.a.")</x:f>
        <x:v>186276.48</x:v>
      </x:c>
      <x:c r="P20" s="58" t="n">
        <x:f>IF(AND(ISNUMBER(P18),ISNUMBER(P19)),P18-P19,"n.a.")</x:f>
        <x:v>185337.69600000005</x:v>
      </x:c>
      <x:c r="Q20" s="58" t="n">
        <x:f>IF(AND(ISNUMBER(Q18),ISNUMBER(Q19)),Q18-Q19,"n.a.")</x:f>
        <x:v>186276.48</x:v>
      </x:c>
      <x:c r="R20" s="58" t="n">
        <x:f>IF(AND(ISNUMBER(R18),ISNUMBER(R19)),R18-R19,"n.a.")</x:f>
        <x:v>185337.69600000005</x:v>
      </x:c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IF(AND(ISNUMBER('Operations'!E20),ISNUMBER('Assumptions'!$D$52)),'Operations'!E20+'Assumptions'!$D$52,"n.a.")</x:f>
        <x:v>1718245.632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1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16965120.537431944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13000000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19091618.133333333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13000000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87776.93097519342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19250000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6250000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3750000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11914425.96591498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2" t="n">
        <x:f>IF(AND(ISNUMBER(D14)),D14,"n.a.")</x:f>
        <x:v>13000000</x:v>
      </x:c>
      <x:c r="H29" s="62" t="n">
        <x:f>IF(AND(ISNUMBER(G33)),G33,"n.a.")</x:f>
        <x:v>13000000</x:v>
      </x:c>
      <x:c r="I29" s="62" t="n">
        <x:f>IF(AND(ISNUMBER(H33)),H33,"n.a.")</x:f>
        <x:v>13000000</x:v>
      </x:c>
      <x:c r="J29" s="62" t="n">
        <x:f>IF(AND(ISNUMBER(I33)),I33,"n.a.")</x:f>
        <x:v>13000000</x:v>
      </x:c>
      <x:c r="K29" s="62" t="n">
        <x:f>IF(AND(ISNUMBER(J33)),J33,"n.a.")</x:f>
        <x:v>13000000</x:v>
      </x:c>
      <x:c r="L29" s="62" t="n">
        <x:f>IF(AND(ISNUMBER(K33)),K33,"n.a.")</x:f>
        <x:v>13000000</x:v>
      </x:c>
      <x:c r="M29" s="62" t="n">
        <x:f>IF(AND(ISNUMBER(L33)),L33,"n.a.")</x:f>
        <x:v>13000000</x:v>
      </x:c>
      <x:c r="N29" s="62" t="n">
        <x:f>IF(AND(ISNUMBER(M33)),M33,"n.a.")</x:f>
        <x:v>12982639.735691473</x:v>
      </x:c>
      <x:c r="O29" s="62" t="n">
        <x:f>IF(AND(ISNUMBER(N33)),N33,"n.a.")</x:f>
        <x:v>12965185.436617943</x:v>
      </x:c>
      <x:c r="P29" s="62" t="n">
        <x:f>IF(AND(ISNUMBER(O33)),O33,"n.a.")</x:f>
        <x:v>12947636.59342443</x:v>
      </x:c>
      <x:c r="Q29" s="62" t="n">
        <x:f>IF(AND(ISNUMBER(P33)),P33,"n.a.")</x:f>
        <x:v>12929992.693996953</x:v>
      </x:c>
      <x:c r="R29" s="62" t="n">
        <x:f>IF(AND(ISNUMBER(Q33)),Q33,"n.a.")</x:f>
        <x:v>12912253.223447576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3" t="n">
        <x:f>IF(AND(ISNUMBER(G29),ISNUMBER('Assumptions'!$D$31)),G29*'Assumptions'!$D$31/12,"n.a.")</x:f>
        <x:v>70416.66666666667</x:v>
      </x:c>
      <x:c r="H30" s="63" t="n">
        <x:f>IF(AND(ISNUMBER(H29),ISNUMBER('Assumptions'!$D$31)),H29*'Assumptions'!$D$31/12,"n.a.")</x:f>
        <x:v>70416.66666666667</x:v>
      </x:c>
      <x:c r="I30" s="63" t="n">
        <x:f>IF(AND(ISNUMBER(I29),ISNUMBER('Assumptions'!$D$31)),I29*'Assumptions'!$D$31/12,"n.a.")</x:f>
        <x:v>70416.66666666667</x:v>
      </x:c>
      <x:c r="J30" s="63" t="n">
        <x:f>IF(AND(ISNUMBER(J29),ISNUMBER('Assumptions'!$D$31)),J29*'Assumptions'!$D$31/12,"n.a.")</x:f>
        <x:v>70416.66666666667</x:v>
      </x:c>
      <x:c r="K30" s="63" t="n">
        <x:f>IF(AND(ISNUMBER(K29),ISNUMBER('Assumptions'!$D$31)),K29*'Assumptions'!$D$31/12,"n.a.")</x:f>
        <x:v>70416.66666666667</x:v>
      </x:c>
      <x:c r="L30" s="63" t="n">
        <x:f>IF(AND(ISNUMBER(L29),ISNUMBER('Assumptions'!$D$31)),L29*'Assumptions'!$D$31/12,"n.a.")</x:f>
        <x:v>70416.66666666667</x:v>
      </x:c>
      <x:c r="M30" s="63" t="n">
        <x:f>IF(AND(ISNUMBER(M29),ISNUMBER('Assumptions'!$D$31)),M29*'Assumptions'!$D$31/12,"n.a.")</x:f>
        <x:v>70416.66666666667</x:v>
      </x:c>
      <x:c r="N30" s="63" t="n">
        <x:f>IF(AND(ISNUMBER(N29),ISNUMBER('Assumptions'!$D$31)),N29*'Assumptions'!$D$31/12,"n.a.")</x:f>
        <x:v>70322.63190166214</x:v>
      </x:c>
      <x:c r="O30" s="63" t="n">
        <x:f>IF(AND(ISNUMBER(O29),ISNUMBER('Assumptions'!$D$31)),O29*'Assumptions'!$D$31/12,"n.a.")</x:f>
        <x:v>70228.08778168053</x:v>
      </x:c>
      <x:c r="P30" s="63" t="n">
        <x:f>IF(AND(ISNUMBER(P29),ISNUMBER('Assumptions'!$D$31)),P29*'Assumptions'!$D$31/12,"n.a.")</x:f>
        <x:v>70133.03154771567</x:v>
      </x:c>
      <x:c r="Q30" s="63" t="n">
        <x:f>IF(AND(ISNUMBER(Q29),ISNUMBER('Assumptions'!$D$31)),Q29*'Assumptions'!$D$31/12,"n.a.")</x:f>
        <x:v>70037.46042581683</x:v>
      </x:c>
      <x:c r="R30" s="63" t="n">
        <x:f>IF(AND(ISNUMBER(R29),ISNUMBER('Assumptions'!$D$31)),R29*'Assumptions'!$D$31/12,"n.a.")</x:f>
        <x:v>69941.37162700771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3" t="n">
        <x:f>IF(AND(ISNUMBER('Assumptions'!$D$37),ISNUMBER(G30),ISNUMBER(G29),ISNUMBER(D16)),IF(1&lt;='Assumptions'!$D$37,G30,MIN(G29+G30,D16)),"n.a.")</x:f>
        <x:v>70416.66666666667</x:v>
      </x:c>
      <x:c r="H31" s="63" t="n">
        <x:f>IF(AND(ISNUMBER('Assumptions'!$D$37),ISNUMBER(H30),ISNUMBER(H29),ISNUMBER(D16)),IF(2&lt;='Assumptions'!$D$37,H30,MIN(H29+H30,D16)),"n.a.")</x:f>
        <x:v>70416.66666666667</x:v>
      </x:c>
      <x:c r="I31" s="63" t="n">
        <x:f>IF(AND(ISNUMBER('Assumptions'!$D$37),ISNUMBER(I30),ISNUMBER(I29),ISNUMBER(D16)),IF(3&lt;='Assumptions'!$D$37,I30,MIN(I29+I30,D16)),"n.a.")</x:f>
        <x:v>70416.66666666667</x:v>
      </x:c>
      <x:c r="J31" s="63" t="n">
        <x:f>IF(AND(ISNUMBER('Assumptions'!$D$37),ISNUMBER(J30),ISNUMBER(J29),ISNUMBER(D16)),IF(4&lt;='Assumptions'!$D$37,J30,MIN(J29+J30,D16)),"n.a.")</x:f>
        <x:v>70416.66666666667</x:v>
      </x:c>
      <x:c r="K31" s="63" t="n">
        <x:f>IF(AND(ISNUMBER('Assumptions'!$D$37),ISNUMBER(K30),ISNUMBER(K29),ISNUMBER(D16)),IF(5&lt;='Assumptions'!$D$37,K30,MIN(K29+K30,D16)),"n.a.")</x:f>
        <x:v>70416.66666666667</x:v>
      </x:c>
      <x:c r="L31" s="63" t="n">
        <x:f>IF(AND(ISNUMBER('Assumptions'!$D$37),ISNUMBER(L30),ISNUMBER(L29),ISNUMBER(D16)),IF(6&lt;='Assumptions'!$D$37,L30,MIN(L29+L30,D16)),"n.a.")</x:f>
        <x:v>70416.66666666667</x:v>
      </x:c>
      <x:c r="M31" s="63" t="n">
        <x:f>IF(AND(ISNUMBER('Assumptions'!$D$37),ISNUMBER(M30),ISNUMBER(M29),ISNUMBER(D16)),IF(7&lt;='Assumptions'!$D$37,M30,MIN(M29+M30,D16)),"n.a.")</x:f>
        <x:v>87776.93097519342</x:v>
      </x:c>
      <x:c r="N31" s="63" t="n">
        <x:f>IF(AND(ISNUMBER('Assumptions'!$D$37),ISNUMBER(N30),ISNUMBER(N29),ISNUMBER(D16)),IF(8&lt;='Assumptions'!$D$37,N30,MIN(N29+N30,D16)),"n.a.")</x:f>
        <x:v>87776.93097519342</x:v>
      </x:c>
      <x:c r="O31" s="63" t="n">
        <x:f>IF(AND(ISNUMBER('Assumptions'!$D$37),ISNUMBER(O30),ISNUMBER(O29),ISNUMBER(D16)),IF(9&lt;='Assumptions'!$D$37,O30,MIN(O29+O30,D16)),"n.a.")</x:f>
        <x:v>87776.93097519342</x:v>
      </x:c>
      <x:c r="P31" s="63" t="n">
        <x:f>IF(AND(ISNUMBER('Assumptions'!$D$37),ISNUMBER(P30),ISNUMBER(P29),ISNUMBER(D16)),IF(10&lt;='Assumptions'!$D$37,P30,MIN(P29+P30,D16)),"n.a.")</x:f>
        <x:v>87776.93097519342</x:v>
      </x:c>
      <x:c r="Q31" s="63" t="n">
        <x:f>IF(AND(ISNUMBER('Assumptions'!$D$37),ISNUMBER(Q30),ISNUMBER(Q29),ISNUMBER(D16)),IF(11&lt;='Assumptions'!$D$37,Q30,MIN(Q29+Q30,D16)),"n.a.")</x:f>
        <x:v>87776.93097519342</x:v>
      </x:c>
      <x:c r="R31" s="63" t="n">
        <x:f>IF(AND(ISNUMBER('Assumptions'!$D$37),ISNUMBER(R30),ISNUMBER(R29),ISNUMBER(D16)),IF(12&lt;='Assumptions'!$D$37,R30,MIN(R29+R30,D16)),"n.a.")</x:f>
        <x:v>87776.93097519342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2" t="n">
        <x:f>IF(AND(ISNUMBER(G31),ISNUMBER(G30)),G31-G30,"n.a.")</x:f>
        <x:v>0</x:v>
      </x:c>
      <x:c r="H32" s="62" t="n">
        <x:f>IF(AND(ISNUMBER(H31),ISNUMBER(H30)),H31-H30,"n.a.")</x:f>
        <x:v>0</x:v>
      </x:c>
      <x:c r="I32" s="62" t="n">
        <x:f>IF(AND(ISNUMBER(I31),ISNUMBER(I30)),I31-I30,"n.a.")</x:f>
        <x:v>0</x:v>
      </x:c>
      <x:c r="J32" s="62" t="n">
        <x:f>IF(AND(ISNUMBER(J31),ISNUMBER(J30)),J31-J30,"n.a.")</x:f>
        <x:v>0</x:v>
      </x:c>
      <x:c r="K32" s="62" t="n">
        <x:f>IF(AND(ISNUMBER(K31),ISNUMBER(K30)),K31-K30,"n.a.")</x:f>
        <x:v>0</x:v>
      </x:c>
      <x:c r="L32" s="62" t="n">
        <x:f>IF(AND(ISNUMBER(L31),ISNUMBER(L30)),L31-L30,"n.a.")</x:f>
        <x:v>0</x:v>
      </x:c>
      <x:c r="M32" s="62" t="n">
        <x:f>IF(AND(ISNUMBER(M31),ISNUMBER(M30)),M31-M30,"n.a.")</x:f>
        <x:v>17360.26430852675</x:v>
      </x:c>
      <x:c r="N32" s="62" t="n">
        <x:f>IF(AND(ISNUMBER(N31),ISNUMBER(N30)),N31-N30,"n.a.")</x:f>
        <x:v>17454.299073531278</x:v>
      </x:c>
      <x:c r="O32" s="62" t="n">
        <x:f>IF(AND(ISNUMBER(O31),ISNUMBER(O30)),O31-O30,"n.a.")</x:f>
        <x:v>17548.84319351289</x:v>
      </x:c>
      <x:c r="P32" s="62" t="n">
        <x:f>IF(AND(ISNUMBER(P31),ISNUMBER(P30)),P31-P30,"n.a.")</x:f>
        <x:v>17643.89942747775</x:v>
      </x:c>
      <x:c r="Q32" s="62" t="n">
        <x:f>IF(AND(ISNUMBER(Q31),ISNUMBER(Q30)),Q31-Q30,"n.a.")</x:f>
        <x:v>17739.470549376594</x:v>
      </x:c>
      <x:c r="R32" s="62" t="n">
        <x:f>IF(AND(ISNUMBER(R31),ISNUMBER(R30)),R31-R30,"n.a.")</x:f>
        <x:v>17835.559348185707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2" t="n">
        <x:f>IF(AND(ISNUMBER(G29),ISNUMBER(G32),ISNUMBER(G38)),G29-G32-G38,"n.a.")</x:f>
        <x:v>13000000</x:v>
      </x:c>
      <x:c r="H33" s="62" t="n">
        <x:f>IF(AND(ISNUMBER(H29),ISNUMBER(H32),ISNUMBER(H38)),H29-H32-H38,"n.a.")</x:f>
        <x:v>13000000</x:v>
      </x:c>
      <x:c r="I33" s="62" t="n">
        <x:f>IF(AND(ISNUMBER(I29),ISNUMBER(I32),ISNUMBER(I38)),I29-I32-I38,"n.a.")</x:f>
        <x:v>13000000</x:v>
      </x:c>
      <x:c r="J33" s="62" t="n">
        <x:f>IF(AND(ISNUMBER(J29),ISNUMBER(J32),ISNUMBER(J38)),J29-J32-J38,"n.a.")</x:f>
        <x:v>13000000</x:v>
      </x:c>
      <x:c r="K33" s="62" t="n">
        <x:f>IF(AND(ISNUMBER(K29),ISNUMBER(K32),ISNUMBER(K38)),K29-K32-K38,"n.a.")</x:f>
        <x:v>13000000</x:v>
      </x:c>
      <x:c r="L33" s="62" t="n">
        <x:f>IF(AND(ISNUMBER(L29),ISNUMBER(L32),ISNUMBER(L38)),L29-L32-L38,"n.a.")</x:f>
        <x:v>13000000</x:v>
      </x:c>
      <x:c r="M33" s="62" t="n">
        <x:f>IF(AND(ISNUMBER(M29),ISNUMBER(M32),ISNUMBER(M38)),M29-M32-M38,"n.a.")</x:f>
        <x:v>12982639.735691473</x:v>
      </x:c>
      <x:c r="N33" s="62" t="n">
        <x:f>IF(AND(ISNUMBER(N29),ISNUMBER(N32),ISNUMBER(N38)),N29-N32-N38,"n.a.")</x:f>
        <x:v>12965185.436617943</x:v>
      </x:c>
      <x:c r="O33" s="62" t="n">
        <x:f>IF(AND(ISNUMBER(O29),ISNUMBER(O32),ISNUMBER(O38)),O29-O32-O38,"n.a.")</x:f>
        <x:v>12947636.59342443</x:v>
      </x:c>
      <x:c r="P33" s="62" t="n">
        <x:f>IF(AND(ISNUMBER(P29),ISNUMBER(P32),ISNUMBER(P38)),P29-P32-P38,"n.a.")</x:f>
        <x:v>12929992.693996953</x:v>
      </x:c>
      <x:c r="Q33" s="62" t="n">
        <x:f>IF(AND(ISNUMBER(Q29),ISNUMBER(Q32),ISNUMBER(Q38)),Q29-Q32-Q38,"n.a.")</x:f>
        <x:v>12912253.223447576</x:v>
      </x:c>
      <x:c r="R33" s="62" t="n">
        <x:f>IF(AND(ISNUMBER(R29),ISNUMBER(R32),ISNUMBER(R38)),R29-R32-R38,"n.a.")</x:f>
        <x:v>12894417.66409939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3" t="n">
        <x:f>IF(AND(ISNUMBER('Operations'!G20)),'Operations'!G20,"n.a.")</x:f>
        <x:v>100154.68800000002</x:v>
      </x:c>
      <x:c r="H34" s="63" t="n">
        <x:f>IF(AND(ISNUMBER('Operations'!H20)),'Operations'!H20,"n.a.")</x:f>
        <x:v>102202.94400000002</x:v>
      </x:c>
      <x:c r="I34" s="63" t="n">
        <x:f>IF(AND(ISNUMBER('Operations'!I20)),'Operations'!I20,"n.a.")</x:f>
        <x:v>100154.68800000002</x:v>
      </x:c>
      <x:c r="J34" s="63" t="n">
        <x:f>IF(AND(ISNUMBER('Operations'!J20)),'Operations'!J20,"n.a.")</x:f>
        <x:v>100837.44</x:v>
      </x:c>
      <x:c r="K34" s="63" t="n">
        <x:f>IF(AND(ISNUMBER('Operations'!K20)),'Operations'!K20,"n.a.")</x:f>
        <x:v>100154.68800000002</x:v>
      </x:c>
      <x:c r="L34" s="63" t="n">
        <x:f>IF(AND(ISNUMBER('Operations'!L20)),'Operations'!L20,"n.a.")</x:f>
        <x:v>100837.44</x:v>
      </x:c>
      <x:c r="M34" s="63" t="n">
        <x:f>IF(AND(ISNUMBER('Operations'!M20)),'Operations'!M20,"n.a.")</x:f>
        <x:v>185337.69600000005</x:v>
      </x:c>
      <x:c r="N34" s="63" t="n">
        <x:f>IF(AND(ISNUMBER('Operations'!N20)),'Operations'!N20,"n.a.")</x:f>
        <x:v>185337.69600000005</x:v>
      </x:c>
      <x:c r="O34" s="63" t="n">
        <x:f>IF(AND(ISNUMBER('Operations'!O20)),'Operations'!O20,"n.a.")</x:f>
        <x:v>186276.48</x:v>
      </x:c>
      <x:c r="P34" s="63" t="n">
        <x:f>IF(AND(ISNUMBER('Operations'!P20)),'Operations'!P20,"n.a.")</x:f>
        <x:v>185337.69600000005</x:v>
      </x:c>
      <x:c r="Q34" s="63" t="n">
        <x:f>IF(AND(ISNUMBER('Operations'!Q20)),'Operations'!Q20,"n.a.")</x:f>
        <x:v>186276.48</x:v>
      </x:c>
      <x:c r="R34" s="63" t="n">
        <x:f>IF(AND(ISNUMBER('Operations'!R20)),'Operations'!R20,"n.a.")</x:f>
        <x:v>185337.69600000005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3" t="n">
        <x:f>IF(AND(ISNUMBER('Operations'!G15)),'Operations'!G15,"n.a.")</x:f>
        <x:v>15000</x:v>
      </x:c>
      <x:c r="H35" s="63" t="n">
        <x:f>IF(AND(ISNUMBER('Operations'!H15)),'Operations'!H15,"n.a.")</x:f>
        <x:v>15000</x:v>
      </x:c>
      <x:c r="I35" s="63" t="n">
        <x:f>IF(AND(ISNUMBER('Operations'!I15)),'Operations'!I15,"n.a.")</x:f>
        <x:v>15000</x:v>
      </x:c>
      <x:c r="J35" s="63" t="n">
        <x:f>IF(AND(ISNUMBER('Operations'!J15)),'Operations'!J15,"n.a.")</x:f>
        <x:v>15000</x:v>
      </x:c>
      <x:c r="K35" s="63" t="n">
        <x:f>IF(AND(ISNUMBER('Operations'!K15)),'Operations'!K15,"n.a.")</x:f>
        <x:v>15000</x:v>
      </x:c>
      <x:c r="L35" s="63" t="n">
        <x:f>IF(AND(ISNUMBER('Operations'!L15)),'Operations'!L15,"n.a.")</x:f>
        <x:v>600000</x:v>
      </x:c>
      <x:c r="M35" s="63" t="n">
        <x:f>IF(AND(ISNUMBER('Operations'!M15)),'Operations'!M15,"n.a.")</x:f>
        <x:v>15000</x:v>
      </x:c>
      <x:c r="N35" s="63" t="n">
        <x:f>IF(AND(ISNUMBER('Operations'!N15)),'Operations'!N15,"n.a.")</x:f>
        <x:v>15000</x:v>
      </x:c>
      <x:c r="O35" s="63" t="n">
        <x:f>IF(AND(ISNUMBER('Operations'!O15)),'Operations'!O15,"n.a.")</x:f>
        <x:v>15000</x:v>
      </x:c>
      <x:c r="P35" s="63" t="n">
        <x:f>IF(AND(ISNUMBER('Operations'!P15)),'Operations'!P15,"n.a.")</x:f>
        <x:v>15000</x:v>
      </x:c>
      <x:c r="Q35" s="63" t="n">
        <x:f>IF(AND(ISNUMBER('Operations'!Q15)),'Operations'!Q15,"n.a.")</x:f>
        <x:v>15000</x:v>
      </x:c>
      <x:c r="R35" s="63" t="n">
        <x:f>IF(AND(ISNUMBER('Operations'!R15)),'Operations'!R15,"n.a.")</x:f>
        <x:v>15000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2" t="n">
        <x:f>IF(AND(ISNUMBER(G34),ISNUMBER(G31),ISNUMBER(G35),ISNUMBER(G38)),G34-G31-G35-G38,"n.a.")</x:f>
        <x:v>14738.021333333352</x:v>
      </x:c>
      <x:c r="H36" s="62" t="n">
        <x:f>IF(AND(ISNUMBER(H34),ISNUMBER(H31),ISNUMBER(H35),ISNUMBER(H38)),H34-H31-H35-H38,"n.a.")</x:f>
        <x:v>16786.277333333346</x:v>
      </x:c>
      <x:c r="I36" s="62" t="n">
        <x:f>IF(AND(ISNUMBER(I34),ISNUMBER(I31),ISNUMBER(I35),ISNUMBER(I38)),I34-I31-I35-I38,"n.a.")</x:f>
        <x:v>14738.021333333352</x:v>
      </x:c>
      <x:c r="J36" s="62" t="n">
        <x:f>IF(AND(ISNUMBER(J34),ISNUMBER(J31),ISNUMBER(J35),ISNUMBER(J38)),J34-J31-J35-J38,"n.a.")</x:f>
        <x:v>15420.77333333333</x:v>
      </x:c>
      <x:c r="K36" s="62" t="n">
        <x:f>IF(AND(ISNUMBER(K34),ISNUMBER(K31),ISNUMBER(K35),ISNUMBER(K38)),K34-K31-K35-K38,"n.a.")</x:f>
        <x:v>14738.021333333352</x:v>
      </x:c>
      <x:c r="L36" s="62" t="n">
        <x:f>IF(AND(ISNUMBER(L34),ISNUMBER(L31),ISNUMBER(L35),ISNUMBER(L38)),L34-L31-L35-L38,"n.a.")</x:f>
        <x:v>-569579.2266666667</x:v>
      </x:c>
      <x:c r="M36" s="62" t="n">
        <x:f>IF(AND(ISNUMBER(M34),ISNUMBER(M31),ISNUMBER(M35),ISNUMBER(M38)),M34-M31-M35-M38,"n.a.")</x:f>
        <x:v>82560.76502480663</x:v>
      </x:c>
      <x:c r="N36" s="62" t="n">
        <x:f>IF(AND(ISNUMBER(N34),ISNUMBER(N31),ISNUMBER(N35),ISNUMBER(N38)),N34-N31-N35-N38,"n.a.")</x:f>
        <x:v>82560.76502480663</x:v>
      </x:c>
      <x:c r="O36" s="62" t="n">
        <x:f>IF(AND(ISNUMBER(O34),ISNUMBER(O31),ISNUMBER(O35),ISNUMBER(O38)),O34-O31-O35-O38,"n.a.")</x:f>
        <x:v>83499.54902480659</x:v>
      </x:c>
      <x:c r="P36" s="62" t="n">
        <x:f>IF(AND(ISNUMBER(P34),ISNUMBER(P31),ISNUMBER(P35),ISNUMBER(P38)),P34-P31-P35-P38,"n.a.")</x:f>
        <x:v>82560.76502480663</x:v>
      </x:c>
      <x:c r="Q36" s="62" t="n">
        <x:f>IF(AND(ISNUMBER(Q34),ISNUMBER(Q31),ISNUMBER(Q35),ISNUMBER(Q38)),Q34-Q31-Q35-Q38,"n.a.")</x:f>
        <x:v>83499.54902480659</x:v>
      </x:c>
      <x:c r="R36" s="62" t="n">
        <x:f>IF(AND(ISNUMBER(R34),ISNUMBER(R31),ISNUMBER(R35),ISNUMBER(R38)),R34-R31-R35-R38,"n.a.")</x:f>
        <x:v>82560.76502480663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3" t="n">
        <x:f>IF(AND(ISNUMBER('Assumptions'!$D$22),ISNUMBER(G36)),'Assumptions'!$D$22+G36,"n.a.")</x:f>
        <x:v>514738.02133333334</x:v>
      </x:c>
      <x:c r="H37" s="62" t="n">
        <x:f>IF(AND(ISNUMBER(G37),ISNUMBER(H36)),G37+H36,"n.a.")</x:f>
        <x:v>531524.2986666667</x:v>
      </x:c>
      <x:c r="I37" s="62" t="n">
        <x:f>IF(AND(ISNUMBER(H37),ISNUMBER(I36)),H37+I36,"n.a.")</x:f>
        <x:v>546262.3200000001</x:v>
      </x:c>
      <x:c r="J37" s="62" t="n">
        <x:f>IF(AND(ISNUMBER(I37),ISNUMBER(J36)),I37+J36,"n.a.")</x:f>
        <x:v>561683.0933333334</x:v>
      </x:c>
      <x:c r="K37" s="62" t="n">
        <x:f>IF(AND(ISNUMBER(J37),ISNUMBER(K36)),J37+K36,"n.a.")</x:f>
        <x:v>576421.1146666667</x:v>
      </x:c>
      <x:c r="L37" s="62" t="n">
        <x:f>IF(AND(ISNUMBER(K37),ISNUMBER(L36)),K37+L36,"n.a.")</x:f>
        <x:v>6841.888000000035</x:v>
      </x:c>
      <x:c r="M37" s="62" t="n">
        <x:f>IF(AND(ISNUMBER(L37),ISNUMBER(M36)),L37+M36,"n.a.")</x:f>
        <x:v>89402.65302480667</x:v>
      </x:c>
      <x:c r="N37" s="62" t="n">
        <x:f>IF(AND(ISNUMBER(M37),ISNUMBER(N36)),M37+N36,"n.a.")</x:f>
        <x:v>171963.4180496133</x:v>
      </x:c>
      <x:c r="O37" s="62" t="n">
        <x:f>IF(AND(ISNUMBER(N37),ISNUMBER(O36)),N37+O36,"n.a.")</x:f>
        <x:v>255462.9670744199</x:v>
      </x:c>
      <x:c r="P37" s="62" t="n">
        <x:f>IF(AND(ISNUMBER(O37),ISNUMBER(P36)),O37+P36,"n.a.")</x:f>
        <x:v>338023.73209922656</x:v>
      </x:c>
      <x:c r="Q37" s="62" t="n">
        <x:f>IF(AND(ISNUMBER(P37),ISNUMBER(Q36)),P37+Q36,"n.a.")</x:f>
        <x:v>421523.28112403315</x:v>
      </x:c>
      <x:c r="R37" s="62" t="n">
        <x:f>IF(AND(ISNUMBER(Q37),ISNUMBER(R36)),Q37+R36,"n.a.")</x:f>
        <x:v>504084.04614883976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3" t="n">
        <x:f>IF(AND(ISNUMBER('Assumptions'!$D$40),ISNUMBER(G29),ISNUMBER(G32)),IF(1='Assumptions'!$D$40,G29-G32,0),"n.a.")</x:f>
        <x:v>0</x:v>
      </x:c>
      <x:c r="H38" s="63" t="n">
        <x:f>IF(AND(ISNUMBER('Assumptions'!$D$40),ISNUMBER(H29),ISNUMBER(H32)),IF(2='Assumptions'!$D$40,H29-H32,0),"n.a.")</x:f>
        <x:v>0</x:v>
      </x:c>
      <x:c r="I38" s="63" t="n">
        <x:f>IF(AND(ISNUMBER('Assumptions'!$D$40),ISNUMBER(I29),ISNUMBER(I32)),IF(3='Assumptions'!$D$40,I29-I32,0),"n.a.")</x:f>
        <x:v>0</x:v>
      </x:c>
      <x:c r="J38" s="63" t="n">
        <x:f>IF(AND(ISNUMBER('Assumptions'!$D$40),ISNUMBER(J29),ISNUMBER(J32)),IF(4='Assumptions'!$D$40,J29-J32,0),"n.a.")</x:f>
        <x:v>0</x:v>
      </x:c>
      <x:c r="K38" s="63" t="n">
        <x:f>IF(AND(ISNUMBER('Assumptions'!$D$40),ISNUMBER(K29),ISNUMBER(K32)),IF(5='Assumptions'!$D$40,K29-K32,0),"n.a.")</x:f>
        <x:v>0</x:v>
      </x:c>
      <x:c r="L38" s="63" t="n">
        <x:f>IF(AND(ISNUMBER('Assumptions'!$D$40),ISNUMBER(L29),ISNUMBER(L32)),IF(6='Assumptions'!$D$40,L29-L32,0),"n.a.")</x:f>
        <x:v>0</x:v>
      </x:c>
      <x:c r="M38" s="63" t="n">
        <x:f>IF(AND(ISNUMBER('Assumptions'!$D$40),ISNUMBER(M29),ISNUMBER(M32)),IF(7='Assumptions'!$D$40,M29-M32,0),"n.a.")</x:f>
        <x:v>0</x:v>
      </x:c>
      <x:c r="N38" s="63" t="n">
        <x:f>IF(AND(ISNUMBER('Assumptions'!$D$40),ISNUMBER(N29),ISNUMBER(N32)),IF(8='Assumptions'!$D$40,N29-N32,0),"n.a.")</x:f>
        <x:v>0</x:v>
      </x:c>
      <x:c r="O38" s="63" t="n">
        <x:f>IF(AND(ISNUMBER('Assumptions'!$D$40),ISNUMBER(O29),ISNUMBER(O32)),IF(9='Assumptions'!$D$40,O29-O32,0),"n.a.")</x:f>
        <x:v>0</x:v>
      </x:c>
      <x:c r="P38" s="63" t="n">
        <x:f>IF(AND(ISNUMBER('Assumptions'!$D$40),ISNUMBER(P29),ISNUMBER(P32)),IF(10='Assumptions'!$D$40,P29-P32,0),"n.a.")</x:f>
        <x:v>0</x:v>
      </x:c>
      <x:c r="Q38" s="63" t="n">
        <x:f>IF(AND(ISNUMBER('Assumptions'!$D$40),ISNUMBER(Q29),ISNUMBER(Q32)),IF(11='Assumptions'!$D$40,Q29-Q32,0),"n.a.")</x:f>
        <x:v>0</x:v>
      </x:c>
      <x:c r="R38" s="63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949161.5858511605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4" t="n">
        <x:f>IF(AND(ISNUMBER(D43),ISNUMBER(D9)),IF(D43=0,"n.a.",D9/D43),"n.a.")</x:f>
        <x:v>1.81027725691107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12894417.66409939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3750000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504084.04614883976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3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3" t="n">
        <x:f>COUNTIFS('Power and Contracts'!N10:N21,"Missing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3" t="n">
        <x:f>IF(AND(ISNUMBER('Operations'!E18),ISNUMBER('Operations'!E13),ISNUMBER('Operations'!E17)),'Operations'!E18-'Operations'!E13+'Operations'!E17,"n.a.")</x:f>
        <x:v>9.313225746154785e-10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3" t="n">
        <x:f>IF(AND(ISNUMBER('Operations'!E20),ISNUMBER('Operations'!E18),ISNUMBER('Operations'!E19)),'Operations'!E20-'Operations'!E18+'Operations'!E19,"n.a.")</x:f>
        <x:v>-3.4924596548080444e-10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3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3" t="n">
        <x:f>IF(COUNT('Debt and Funding'!G34:R36)=36,'Debt and Funding'!R37-'Assumptions'!$D$22-SUM('Debt and Funding'!G34:R34)+SUM('Debt and Funding'!G31:R31)+SUM('Debt and Funding'!G35:R35)+SUM('Debt and Funding'!G38:R38),"n.a.")</x:f>
        <x:v>1.1641532182693481e-10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3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Billing is limited by commissioned capacity. The unused contract amount is not accepted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as current revenue. Continuous full billed load, calendar hours and PUE drive energy;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change those assumptions for actual utilization.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PUE, tariffs, contract load and reimbursement are hypothetical. Lender recognition,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power delivery and uptime obligations require contracts and technical evidence.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Every numerical assumption is illustrative. No current market quote, legal conclusion or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lender eligibility is represented.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NCF is a modeled cash measure after cash reserve deposits. An actual lender may adjust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income, expenses, reserves, tax and business cash differently.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No tax return, appraisal, legal compliance, guaranty capacity or refinancing approval is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established by the calculations.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Calculation methods and conventions are shown here. Check Review and replace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illustrative inputs before relying on results.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