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5df23eef5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744639c685674a6a"/>
    <x:sheet xmlns:r="http://schemas.openxmlformats.org/officeDocument/2006/relationships" name="Assumptions" sheetId="2" r:id="Re1ad6c901caa4988"/>
    <x:sheet xmlns:r="http://schemas.openxmlformats.org/officeDocument/2006/relationships" name="Project Plan" sheetId="3" r:id="R0f81e2325cfc4b10"/>
    <x:sheet xmlns:r="http://schemas.openxmlformats.org/officeDocument/2006/relationships" name="Operations" sheetId="4" r:id="R450e22994d7e4161"/>
    <x:sheet xmlns:r="http://schemas.openxmlformats.org/officeDocument/2006/relationships" name="Debt and Funding" sheetId="5" r:id="R8c043c7fc7e84ce8"/>
    <x:sheet xmlns:r="http://schemas.openxmlformats.org/officeDocument/2006/relationships" name="Review" sheetId="6" r:id="Rb1f3b3c72e834f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#,##0.0;(#,##0.0);&quot;—&quot;"/>
    <x:numFmt numFmtId="201" formatCode="0"/>
    <x:numFmt numFmtId="202" formatCode="$#,##0;($#,##0);&quot;—&quot;"/>
    <x:numFmt numFmtId="203" formatCode="$#,##0.00;($#,##0.00);&quot;—&quot;"/>
    <x:numFmt numFmtId="204" formatCode="  @"/>
    <x:numFmt numFmtId="205" formatCode="0.0%;(0.0%);&quot;—&quot;"/>
    <x:numFmt numFmtId="206" formatCode="0.00&quot;x&quot;"/>
    <x:numFmt numFmtId="207" formatCode="mmm-yy"/>
    <x:numFmt numFmtId="208" formatCode="0.000000&quot;x&quot;"/>
    <x:numFmt numFmtId="209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7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4" fontId="13" fillId="0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6" fontId="10" fillId="4" borderId="0" xfId="0" applyNumberFormat="1" applyFont="1" applyFill="1" applyBorder="1" applyAlignment="1">
      <x:alignment vertical="center"/>
    </x:xf>
    <x:xf numFmtId="206" fontId="7" fillId="2" borderId="0" xfId="0" applyNumberFormat="1" applyFont="1" applyFill="1" applyBorder="1" applyAlignment="1">
      <x:alignment vertical="center"/>
    </x:xf>
    <x:xf numFmtId="206" fontId="12" fillId="4" borderId="0" xfId="0" applyNumberFormat="1" applyFont="1" applyFill="1" applyBorder="1" applyAlignment="1">
      <x:alignment vertical="center"/>
    </x:xf>
    <x:xf numFmtId="206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7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7" fontId="4" fillId="3" borderId="0" xfId="0" applyNumberFormat="1" applyFont="1" applyFill="1" applyBorder="1" applyAlignment="1">
      <x:alignment horizontal="center" vertical="center" wrapText="1"/>
    </x:xf>
    <x:xf numFmtId="207" fontId="8" fillId="3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2" fontId="10" fillId="4" borderId="1" xfId="0" applyNumberFormat="1" applyFont="1" applyFill="1" applyBorder="1" applyAlignment="1">
      <x:alignment vertical="center"/>
    </x:xf>
    <x:xf numFmtId="202" fontId="4" fillId="4" borderId="1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2" fontId="3" fillId="0" borderId="0" xfId="0" applyNumberFormat="1" applyFont="1" applyFill="1" applyBorder="1" applyAlignment="1">
      <x:alignment horizontal="right" vertical="center"/>
    </x:xf>
    <x:xf numFmtId="206" fontId="6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vertical="center"/>
    </x:xf>
    <x:xf numFmtId="202" fontId="9" fillId="4" borderId="1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9" fontId="3" fillId="0" borderId="0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620de570246be" /><Relationship Type="http://schemas.openxmlformats.org/officeDocument/2006/relationships/theme" Target="/xl/theme/theme1.xml" Id="R999c6f6105814e6a" /><Relationship Type="http://schemas.openxmlformats.org/officeDocument/2006/relationships/sharedStrings" Target="/xl/sharedStrings.xml" Id="R082dac5e4f8c413b" /><Relationship Type="http://schemas.openxmlformats.org/officeDocument/2006/relationships/worksheet" Target="/xl/worksheets/sheet1.xml" Id="R744639c685674a6a" /><Relationship Type="http://schemas.openxmlformats.org/officeDocument/2006/relationships/worksheet" Target="/xl/worksheets/sheet2.xml" Id="Re1ad6c901caa4988" /><Relationship Type="http://schemas.openxmlformats.org/officeDocument/2006/relationships/worksheet" Target="/xl/worksheets/sheet3.xml" Id="R0f81e2325cfc4b10" /><Relationship Type="http://schemas.openxmlformats.org/officeDocument/2006/relationships/worksheet" Target="/xl/worksheets/sheet4.xml" Id="R450e22994d7e4161" /><Relationship Type="http://schemas.openxmlformats.org/officeDocument/2006/relationships/worksheet" Target="/xl/worksheets/sheet5.xml" Id="R8c043c7fc7e84ce8" /><Relationship Type="http://schemas.openxmlformats.org/officeDocument/2006/relationships/worksheet" Target="/xl/worksheets/sheet6.xml" Id="Rb1f3b3c72e834f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Development and adaptive reuse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Sponsor cash</x:v>
      </x:c>
      <x:c r="I9" s="21" t="str">
        <x:v>Cum. sponsor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receipts during construction</x:v>
      </x:c>
      <x:c r="D10" s="47" t="n">
        <x:f>'Operations'!E13</x:f>
        <x:v>240000</x:v>
      </x:c>
      <x:c r="E10" s="2"/>
      <x:c r="F10" s="2"/>
      <x:c r="G10" s="66" t="n">
        <x:f>'Operations'!G9</x:f>
        <x:v>46388</x:v>
      </x:c>
      <x:c r="H10" s="67" t="n">
        <x:f>'Debt and Funding'!G36</x:f>
        <x:v>1243719.4246575343</x:v>
      </x:c>
      <x:c r="I10" s="67" t="n">
        <x:f>'Debt and Funding'!G37</x:f>
        <x:v>1243719.4246575343</x:v>
      </x:c>
      <x:c r="J10" s="67" t="n">
        <x:f>'Debt and Funding'!G34</x:f>
        <x:v>1603000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47" t="n">
        <x:f>'Operations'!E17</x:f>
        <x:v>75000</x:v>
      </x:c>
      <x:c r="E11" s="2"/>
      <x:c r="F11" s="2"/>
      <x:c r="G11" s="66" t="n">
        <x:f>'Operations'!H9</x:f>
        <x:v>46419</x:v>
      </x:c>
      <x:c r="H11" s="67" t="n">
        <x:f>'Debt and Funding'!H36</x:f>
        <x:v>159251.34246575343</x:v>
      </x:c>
      <x:c r="I11" s="67" t="n">
        <x:f>'Debt and Funding'!H37</x:f>
        <x:v>1402970.7671232878</x:v>
      </x:c>
      <x:c r="J11" s="67" t="n">
        <x:f>'Debt and Funding'!H34</x:f>
        <x:v>1946000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47" t="n">
        <x:f>'Operations'!E18</x:f>
        <x:v>165000</x:v>
      </x:c>
      <x:c r="E12" s="2"/>
      <x:c r="F12" s="2"/>
      <x:c r="G12" s="66" t="n">
        <x:f>'Operations'!I9</x:f>
        <x:v>46447</x:v>
      </x:c>
      <x:c r="H12" s="67" t="n">
        <x:f>'Debt and Funding'!I36</x:f>
        <x:v>254192.95890410955</x:v>
      </x:c>
      <x:c r="I12" s="67" t="n">
        <x:f>'Debt and Funding'!I37</x:f>
        <x:v>1657163.7260273974</x:v>
      </x:c>
      <x:c r="J12" s="67" t="n">
        <x:f>'Debt and Funding'!I34</x:f>
        <x:v>2499000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47" t="n">
        <x:f>'Operations'!E19</x:f>
        <x:v>0</x:v>
      </x:c>
      <x:c r="E13" s="2"/>
      <x:c r="F13" s="2"/>
      <x:c r="G13" s="66" t="n">
        <x:f>'Operations'!J9</x:f>
        <x:v>46478</x:v>
      </x:c>
      <x:c r="H13" s="67" t="n">
        <x:f>'Debt and Funding'!J36</x:f>
        <x:v>348495.9452054794</x:v>
      </x:c>
      <x:c r="I13" s="67" t="n">
        <x:f>'Debt and Funding'!J37</x:f>
        <x:v>2005659.6712328768</x:v>
      </x:c>
      <x:c r="J13" s="67" t="n">
        <x:f>'Debt and Funding'!J34</x:f>
        <x:v>3262000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47" t="n">
        <x:f>'Operations'!E20</x:f>
        <x:v>165000</x:v>
      </x:c>
      <x:c r="E14" s="2"/>
      <x:c r="F14" s="2"/>
      <x:c r="G14" s="66" t="n">
        <x:f>'Operations'!K9</x:f>
        <x:v>46508</x:v>
      </x:c>
      <x:c r="H14" s="67" t="n">
        <x:f>'Debt and Funding'!K36</x:f>
        <x:v>385425.9452054794</x:v>
      </x:c>
      <x:c r="I14" s="67" t="n">
        <x:f>'Debt and Funding'!K37</x:f>
        <x:v>2391085.616438356</x:v>
      </x:c>
      <x:c r="J14" s="67" t="n">
        <x:f>'Debt and Funding'!K34</x:f>
        <x:v>4095000</x:v>
      </x:c>
      <x:c r="K14" s="2"/>
      <x:c r="L14" s="2"/>
    </x:row>
    <x:row r="15" ht="21" customHeight="1">
      <x:c r="A15" s="2"/>
      <x:c r="B15" s="2"/>
      <x:c r="C15" s="2" t="str">
        <x:v>Project costs before interest / reserves</x:v>
      </x:c>
      <x:c r="D15" s="47" t="n">
        <x:f>'Debt and Funding'!D16</x:f>
        <x:v>11880000</x:v>
      </x:c>
      <x:c r="E15" s="2"/>
      <x:c r="F15" s="2"/>
      <x:c r="G15" s="66" t="n">
        <x:f>'Operations'!L9</x:f>
        <x:v>46539</x:v>
      </x:c>
      <x:c r="H15" s="67" t="n">
        <x:f>'Debt and Funding'!L36</x:f>
        <x:v>390578.1369863013</x:v>
      </x:c>
      <x:c r="I15" s="67" t="n">
        <x:f>'Debt and Funding'!L37</x:f>
        <x:v>2781663.7534246575</x:v>
      </x:c>
      <x:c r="J15" s="67" t="n">
        <x:f>'Debt and Funding'!L34</x:f>
        <x:v>4928000</x:v>
      </x:c>
      <x:c r="K15" s="2"/>
      <x:c r="L15" s="2"/>
    </x:row>
    <x:row r="16" ht="21" customHeight="1">
      <x:c r="A16" s="2"/>
      <x:c r="B16" s="2"/>
      <x:c r="C16" s="54" t="str">
        <x:v>Permanent exit loan capacity</x:v>
      </x:c>
      <x:c r="D16" s="64" t="n">
        <x:f>'Debt and Funding'!D14</x:f>
        <x:v>11050000</x:v>
      </x:c>
      <x:c r="E16" s="2"/>
      <x:c r="F16" s="2"/>
      <x:c r="G16" s="66" t="n">
        <x:f>'Operations'!M9</x:f>
        <x:v>46569</x:v>
      </x:c>
      <x:c r="H16" s="67" t="n">
        <x:f>'Debt and Funding'!M36</x:f>
        <x:v>367867.15068493155</x:v>
      </x:c>
      <x:c r="I16" s="67" t="n">
        <x:f>'Debt and Funding'!M37</x:f>
        <x:v>3149530.904109589</x:v>
      </x:c>
      <x:c r="J16" s="67" t="n">
        <x:f>'Debt and Funding'!M34</x:f>
        <x:v>5691000</x:v>
      </x:c>
      <x:c r="K16" s="2"/>
      <x:c r="L16" s="2"/>
    </x:row>
    <x:row r="17" ht="21" customHeight="1">
      <x:c r="A17" s="2"/>
      <x:c r="B17" s="2"/>
      <x:c r="C17" s="2" t="str">
        <x:v>Construction commitment</x:v>
      </x:c>
      <x:c r="D17" s="47" t="n">
        <x:f>'Debt and Funding'!D17</x:f>
        <x:v>8500000</x:v>
      </x:c>
      <x:c r="E17" s="2"/>
      <x:c r="F17" s="2"/>
      <x:c r="G17" s="66" t="n">
        <x:f>'Operations'!N9</x:f>
        <x:v>46600</x:v>
      </x:c>
      <x:c r="H17" s="67" t="n">
        <x:f>'Debt and Funding'!N36</x:f>
        <x:v>403992.82191780815</x:v>
      </x:c>
      <x:c r="I17" s="67" t="n">
        <x:f>'Debt and Funding'!N37</x:f>
        <x:v>3553523.726027397</x:v>
      </x:c>
      <x:c r="J17" s="67" t="n">
        <x:f>'Debt and Funding'!N34</x:f>
        <x:v>6524000</x:v>
      </x:c>
      <x:c r="K17" s="2"/>
      <x:c r="L17" s="2"/>
    </x:row>
    <x:row r="18" ht="21" customHeight="1">
      <x:c r="A18" s="2"/>
      <x:c r="B18" s="2"/>
      <x:c r="C18" s="2" t="str">
        <x:v>Construction draws</x:v>
      </x:c>
      <x:c r="D18" s="47" t="n">
        <x:f>'Debt and Funding'!D43</x:f>
        <x:v>8211000</x:v>
      </x:c>
      <x:c r="E18" s="2"/>
      <x:c r="F18" s="2"/>
      <x:c r="G18" s="66" t="n">
        <x:f>'Operations'!O9</x:f>
        <x:v>46631</x:v>
      </x:c>
      <x:c r="H18" s="67" t="n">
        <x:f>'Debt and Funding'!O36</x:f>
        <x:v>287441.4246575342</x:v>
      </x:c>
      <x:c r="I18" s="67" t="n">
        <x:f>'Debt and Funding'!O37</x:f>
        <x:v>3840965.1506849313</x:v>
      </x:c>
      <x:c r="J18" s="67" t="n">
        <x:f>'Debt and Funding'!O34</x:f>
        <x:v>7077000</x:v>
      </x:c>
      <x:c r="K18" s="2"/>
      <x:c r="L18" s="2"/>
    </x:row>
    <x:row r="19" ht="21" customHeight="1">
      <x:c r="A19" s="2"/>
      <x:c r="B19" s="2"/>
      <x:c r="C19" s="2" t="str">
        <x:v>Construction cash interest</x:v>
      </x:c>
      <x:c r="D19" s="47" t="n">
        <x:f>'Debt and Funding'!D44</x:f>
        <x:v>433847.34246575343</x:v>
      </x:c>
      <x:c r="E19" s="2"/>
      <x:c r="F19" s="2"/>
      <x:c r="G19" s="66" t="n">
        <x:f>'Operations'!P9</x:f>
        <x:v>46661</x:v>
      </x:c>
      <x:c r="H19" s="67" t="n">
        <x:f>'Debt and Funding'!P36</x:f>
        <x:v>263266.7671232877</x:v>
      </x:c>
      <x:c r="I19" s="67" t="n">
        <x:f>'Debt and Funding'!P37</x:f>
        <x:v>4104231.917808219</x:v>
      </x:c>
      <x:c r="J19" s="67" t="n">
        <x:f>'Debt and Funding'!P34</x:f>
        <x:v>7595000</x:v>
      </x:c>
      <x:c r="K19" s="2"/>
      <x:c r="L19" s="2"/>
    </x:row>
    <x:row r="20" ht="21" customHeight="1">
      <x:c r="A20" s="2"/>
      <x:c r="B20" s="2"/>
      <x:c r="C20" s="2" t="str">
        <x:v>Peak sponsor cash requirement</x:v>
      </x:c>
      <x:c r="D20" s="47" t="n">
        <x:f>'Debt and Funding'!D45</x:f>
        <x:v>4337847.342465754</x:v>
      </x:c>
      <x:c r="E20" s="2"/>
      <x:c r="F20" s="2"/>
      <x:c r="G20" s="66" t="n">
        <x:f>'Operations'!Q9</x:f>
        <x:v>46692</x:v>
      </x:c>
      <x:c r="H20" s="67" t="n">
        <x:f>'Debt and Funding'!Q36</x:f>
        <x:v>164673.47945205483</x:v>
      </x:c>
      <x:c r="I20" s="67" t="n">
        <x:f>'Debt and Funding'!Q37</x:f>
        <x:v>4268905.397260274</x:v>
      </x:c>
      <x:c r="J20" s="67" t="n">
        <x:f>'Debt and Funding'!Q34</x:f>
        <x:v>7973000</x:v>
      </x:c>
      <x:c r="K20" s="2"/>
      <x:c r="L20" s="2"/>
    </x:row>
    <x:row r="21" ht="21" customHeight="1">
      <x:c r="A21" s="2"/>
      <x:c r="B21" s="2"/>
      <x:c r="C21" s="54" t="str">
        <x:v>Sponsor cash less peak requirement</x:v>
      </x:c>
      <x:c r="D21" s="64" t="n">
        <x:f>'Debt and Funding'!D46</x:f>
        <x:v>1662152.6575342463</x:v>
      </x:c>
      <x:c r="E21" s="2"/>
      <x:c r="F21" s="2"/>
      <x:c r="G21" s="66" t="n">
        <x:f>'Operations'!R9</x:f>
        <x:v>46722</x:v>
      </x:c>
      <x:c r="H21" s="67" t="n">
        <x:f>'Debt and Funding'!R36</x:f>
        <x:v>68941.94520547948</x:v>
      </x:c>
      <x:c r="I21" s="67" t="n">
        <x:f>'Debt and Funding'!R37</x:f>
        <x:v>4337847.342465754</x:v>
      </x:c>
      <x:c r="J21" s="67" t="n">
        <x:f>'Debt and Funding'!R34</x:f>
        <x:v>8211000</x:v>
      </x:c>
      <x:c r="K21" s="2"/>
      <x:c r="L21" s="2"/>
    </x:row>
    <x:row r="22" ht="21" customHeight="1">
      <x:c r="A22" s="2"/>
      <x:c r="B22" s="2"/>
      <x:c r="C22" s="2" t="str">
        <x:v>Construction principal at exit</x:v>
      </x:c>
      <x:c r="D22" s="47" t="n">
        <x:f>'Debt and Funding'!D47</x:f>
        <x:v>8211000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54" t="str">
        <x:v>Additional exit cash required</x:v>
      </x:c>
      <x:c r="D23" s="64" t="n">
        <x:f>'Debt and Funding'!D48</x:f>
        <x:v>-2589000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Permanent DSCR</x:v>
      </x:c>
      <x:c r="D24" s="65" t="n">
        <x:f>'Debt and Funding'!D50</x:f>
        <x:v>1.5078328634419307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/>
      <x:c r="D25" s="2"/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/>
      <x:c r="D27" s="2"/>
      <x:c r="E27" s="2"/>
      <x:c r="F27" s="2"/>
      <x:c r="G27" s="2" t="str">
        <x:v>Edit blue cells in Project Plan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1:D21">
    <x:cfRule type="cellIs" dxfId="3" priority="2" operator="lessThan">
      <x:formula>0</x:formula>
    </x:cfRule>
  </x:conditionalFormatting>
  <x:conditionalFormatting sqref="D23:D23">
    <x:cfRule type="cellIs" dxfId="4" priority="3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17000000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17000000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14500000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2000000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2000000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2000000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Stabilized exit NCF is entered separately from construction cash.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Construction interest is cash paid; permanent exit capacity uses amortization.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300000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300000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300000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Minimum operating cash maintained</x:v>
      </x:c>
      <x:c r="D22" s="26" t="n">
        <x:f>IF($D$5=1,IF(ISNUMBER(D23),IF(AND(D23&gt;=0,D23&lt;=1000000000000),D23,"n.a."),"n.a."),IF($D$5=2,IF(ISNUMBER(D24),IF(AND(D24&gt;=0,D24&lt;=1000000000000),D24,"n.a."),"n.a."),"n.a."))</x:f>
        <x:v>100000</x:v>
      </x:c>
      <x:c r="E22" s="22" t="str">
        <x:v>USD</x:v>
      </x:c>
      <x:c r="F22" s="2"/>
      <x:c r="G22" s="42" t="str">
        <x:v>Initial minimum operating cash is maintained; ongoing net uses require sponsor cash.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100000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100000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6000000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6000000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6000000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8500000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8500000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8500000</x:v>
      </x:c>
      <x:c r="E30" s="2"/>
      <x:c r="F30" s="2"/>
      <x:c r="G30" s="42" t="str">
        <x:v>Construction interest is paid in cash, not capitalized. One dated draw per month uses actual days /365, including the draw day. The opening balance accrues for the whole month.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0.09</x:v>
      </x:c>
      <x:c r="E31" s="33" t="str">
        <x:v>%</x:v>
      </x:c>
      <x:c r="F31" s="2"/>
      <x:c r="G31" s="2"/>
      <x:c r="H31" s="2"/>
      <x:c r="I31" s="2"/>
      <x:c r="J31" s="2"/>
    </x:row>
    <x:row r="32" ht="75" customHeight="1">
      <x:c r="A32" s="2"/>
      <x:c r="B32" s="2"/>
      <x:c r="C32" s="34" t="str">
        <x:v>Base</x:v>
      </x:c>
      <x:c r="D32" s="35" t="n">
        <x:v>0.09</x:v>
      </x:c>
      <x:c r="E32" s="36"/>
      <x:c r="F32" s="2"/>
      <x:c r="G32" s="42" t="str">
        <x:v>Advance rate applies to acquisition and current hard/soft/leased capital, capped by remaining commitment. No equity-first rule, retainage, reimbursement lag or discretionary advance approval is inferred.</x:v>
      </x:c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0.105</x:v>
      </x:c>
      <x:c r="E33" s="36"/>
      <x:c r="F33" s="2"/>
      <x:c r="G33" s="2"/>
      <x:c r="H33" s="2"/>
      <x:c r="I33" s="2"/>
      <x:c r="J33" s="2"/>
    </x:row>
    <x:row r="34" ht="75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42" t="str">
        <x:v>Unused contingency is a separate reserved cash input, not an incurred monthly cost. Permanent exit uses separately entered stabilized annual NCF and as-completed value.</x:v>
      </x:c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75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42" t="str">
        <x:v>The exit at month12 is an illustrative new-loan funding event. Physical completion and a spreadsheet capacity do not establish takeout eligibility. Initial restricted reserves and minimum operating cash remain unspent; monthly sponsor contributions cover all net project uses.</x:v>
      </x:c>
      <x:c r="H36" s="2"/>
      <x:c r="I36" s="2"/>
      <x:c r="J36" s="2"/>
    </x:row>
    <x:row r="37" ht="21" customHeight="1">
      <x:c r="A37" s="2"/>
      <x:c r="B37" s="2"/>
      <x:c r="C37" s="31" t="str">
        <x:v>Maximum LTV</x:v>
      </x:c>
      <x:c r="D37" s="32" t="n">
        <x:f>IF($D$5=1,IF(ISNUMBER(D38),IF(AND(D38&gt;=0,D38&lt;=1),D38,"n.a."),"n.a."),IF($D$5=2,IF(ISNUMBER(D39),IF(AND(D39&gt;=0,D39&lt;=1),D39,"n.a."),"n.a."),"n.a."))</x:f>
        <x:v>0.65</x:v>
      </x:c>
      <x:c r="E37" s="33" t="str">
        <x:v>%</x:v>
      </x:c>
      <x:c r="F37" s="2"/>
      <x:c r="G37" s="2"/>
      <x:c r="H37" s="2"/>
      <x:c r="I37" s="2"/>
      <x:c r="J37" s="2"/>
    </x:row>
    <x:row r="38" ht="21" customHeight="1">
      <x:c r="A38" s="2"/>
      <x:c r="B38" s="2"/>
      <x:c r="C38" s="34" t="str">
        <x:v>Base</x:v>
      </x:c>
      <x:c r="D38" s="35" t="n">
        <x:v>0.65</x:v>
      </x:c>
      <x:c r="E38" s="36"/>
      <x:c r="F38" s="2"/>
      <x:c r="G38" s="2"/>
      <x:c r="H38" s="2"/>
      <x:c r="I38" s="2"/>
      <x:c r="J38" s="2"/>
    </x:row>
    <x:row r="39" ht="21" customHeight="1">
      <x:c r="A39" s="2"/>
      <x:c r="B39" s="2"/>
      <x:c r="C39" s="34" t="str">
        <x:v>Downside</x:v>
      </x:c>
      <x:c r="D39" s="35" t="n">
        <x:v>0.6</x:v>
      </x:c>
      <x:c r="E39" s="36"/>
      <x:c r="F39" s="2"/>
      <x:c r="G39" s="2"/>
      <x:c r="H39" s="2"/>
      <x:c r="I39" s="2"/>
      <x:c r="J39" s="2"/>
    </x:row>
    <x:row r="40" ht="21" customHeight="1">
      <x:c r="A40" s="2"/>
      <x:c r="B40" s="2"/>
      <x:c r="C40" s="31" t="str">
        <x:v>Minimum sizing DSCR</x:v>
      </x:c>
      <x:c r="D40" s="40" t="n">
        <x:f>IF($D$5=1,IF(ISNUMBER(D41),IF(AND(D41&gt;=0.01,D41&lt;=10),D41,"n.a."),"n.a."),IF($D$5=2,IF(ISNUMBER(D42),IF(AND(D42&gt;=0.01,D42&lt;=10),D42,"n.a."),"n.a."),"n.a."))</x:f>
        <x:v>1.25</x:v>
      </x:c>
      <x:c r="E40" s="33" t="str">
        <x:v>x</x:v>
      </x:c>
      <x:c r="F40" s="2"/>
      <x:c r="G40" s="2"/>
      <x:c r="H40" s="2"/>
      <x:c r="I40" s="2"/>
      <x:c r="J40" s="2"/>
    </x:row>
    <x:row r="41" ht="21" customHeight="1">
      <x:c r="A41" s="2"/>
      <x:c r="B41" s="2"/>
      <x:c r="C41" s="34" t="str">
        <x:v>Base</x:v>
      </x:c>
      <x:c r="D41" s="41" t="n">
        <x:v>1.25</x:v>
      </x:c>
      <x:c r="E41" s="36"/>
      <x:c r="F41" s="2"/>
      <x:c r="G41" s="2"/>
      <x:c r="H41" s="2"/>
      <x:c r="I41" s="2"/>
      <x:c r="J41" s="2"/>
    </x:row>
    <x:row r="42" ht="21" customHeight="1">
      <x:c r="A42" s="2"/>
      <x:c r="B42" s="2"/>
      <x:c r="C42" s="34" t="str">
        <x:v>Downside</x:v>
      </x:c>
      <x:c r="D42" s="41" t="n">
        <x:v>1.3</x:v>
      </x:c>
      <x:c r="E42" s="36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Minimum debt yield</x:v>
      </x:c>
      <x:c r="D43" s="32" t="n">
        <x:f>IF($D$5=1,IF(ISNUMBER(D44),IF(AND(D44&gt;=0.0001,D44&lt;=1),D44,"n.a."),"n.a."),IF($D$5=2,IF(ISNUMBER(D45),IF(AND(D45&gt;=0.0001,D45&lt;=1),D45,"n.a."),"n.a."),"n.a."))</x:f>
        <x:v>0.09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0.09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0.1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24" t="str">
        <x:v>Annual fixed operating costs</x:v>
      </x:c>
      <x:c r="D46" s="26" t="n">
        <x:f>IF($D$5=1,IF(ISNUMBER(D47),IF(AND(D47&gt;=0,D47&lt;=1000000000000),D47,"n.a."),"n.a."),IF($D$5=2,IF(ISNUMBER(D48),IF(AND(D48&gt;=0,D48&lt;=1000000000000),D48,"n.a."),"n.a."),"n.a."))</x:f>
        <x:v>0</x:v>
      </x:c>
      <x:c r="E46" s="22" t="str">
        <x:v>USD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28" t="str">
        <x:v>Base</x:v>
      </x:c>
      <x:c r="D47" s="27" t="n">
        <x:v>0</x:v>
      </x:c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8" t="str">
        <x:v>Downside</x:v>
      </x:c>
      <x:c r="D48" s="27" t="n">
        <x:v>0</x:v>
      </x:c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Replacement reserve / revenue</x:v>
      </x:c>
      <x:c r="D49" s="32" t="n">
        <x:f>IF($D$5=1,IF(ISNUMBER(D50),IF(AND(D50&gt;=0,D50&lt;=1),D50,"n.a."),"n.a."),IF($D$5=2,IF(ISNUMBER(D51),IF(AND(D51&gt;=0,D51&lt;=1),D51,"n.a."),"n.a."),"n.a."))</x:f>
        <x:v>0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31" t="str">
        <x:v>Activity multiplier</x:v>
      </x:c>
      <x:c r="D52" s="40" t="n">
        <x:f>IF($D$5=1,IF(ISNUMBER(D53),IF(AND(D53&gt;=0,D53&lt;=2),D53,"n.a."),"n.a."),IF($D$5=2,IF(ISNUMBER(D54),IF(AND(D54&gt;=0,D54&lt;=2),D54,"n.a."),"n.a."),"n.a."))</x:f>
        <x:v>1</x:v>
      </x:c>
      <x:c r="E52" s="33" t="str">
        <x:v>x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34" t="str">
        <x:v>Base</x:v>
      </x:c>
      <x:c r="D53" s="41" t="n">
        <x:v>1</x:v>
      </x:c>
      <x:c r="E53" s="36"/>
      <x:c r="F53" s="2"/>
      <x:c r="G53" s="2"/>
      <x:c r="H53" s="2"/>
      <x:c r="I53" s="2"/>
      <x:c r="J53" s="2"/>
    </x:row>
    <x:row r="54" ht="21" customHeight="1">
      <x:c r="A54" s="2"/>
      <x:c r="B54" s="2"/>
      <x:c r="C54" s="34" t="str">
        <x:v>Downside</x:v>
      </x:c>
      <x:c r="D54" s="41" t="n">
        <x:v>0.9</x:v>
      </x:c>
      <x:c r="E54" s="36"/>
      <x:c r="F54" s="2"/>
      <x:c r="G54" s="2"/>
      <x:c r="H54" s="2"/>
      <x:c r="I54" s="2"/>
      <x:c r="J54" s="2"/>
    </x:row>
    <x:row r="55" ht="21" customHeight="1">
      <x:c r="A55" s="2"/>
      <x:c r="B55" s="2"/>
      <x:c r="C55" s="31" t="str">
        <x:v>Price / rent multiplier</x:v>
      </x:c>
      <x:c r="D55" s="40" t="n">
        <x:f>IF($D$5=1,IF(ISNUMBER(D56),IF(AND(D56&gt;=0,D56&lt;=2),D56,"n.a."),"n.a."),IF($D$5=2,IF(ISNUMBER(D57),IF(AND(D57&gt;=0,D57&lt;=2),D57,"n.a."),"n.a."),"n.a."))</x:f>
        <x:v>1</x:v>
      </x:c>
      <x:c r="E55" s="33" t="str">
        <x:v>x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34" t="str">
        <x:v>Base</x:v>
      </x:c>
      <x:c r="D56" s="41" t="n">
        <x:v>1</x:v>
      </x:c>
      <x:c r="E56" s="36"/>
      <x:c r="F56" s="2"/>
      <x:c r="G56" s="2"/>
      <x:c r="H56" s="2"/>
      <x:c r="I56" s="2"/>
      <x:c r="J56" s="2"/>
    </x:row>
    <x:row r="57" ht="21" customHeight="1">
      <x:c r="A57" s="2"/>
      <x:c r="B57" s="2"/>
      <x:c r="C57" s="34" t="str">
        <x:v>Downside</x:v>
      </x:c>
      <x:c r="D57" s="41" t="n">
        <x:v>0.95</x:v>
      </x:c>
      <x:c r="E57" s="36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Variable cost multiplier</x:v>
      </x:c>
      <x:c r="D58" s="40" t="n">
        <x:f>IF($D$5=1,IF(ISNUMBER(D59),IF(AND(D59&gt;=0,D59&lt;=3),D59,"n.a."),"n.a."),IF($D$5=2,IF(ISNUMBER(D60),IF(AND(D60&gt;=0,D60&lt;=3),D60,"n.a."),"n.a."),"n.a."))</x:f>
        <x:v>1</x:v>
      </x:c>
      <x:c r="E58" s="33" t="str">
        <x:v>x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41" t="n">
        <x:v>1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41" t="n">
        <x:v>1.1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Capital-work multiplier</x:v>
      </x:c>
      <x:c r="D61" s="40" t="n">
        <x:f>IF($D$5=1,IF(ISNUMBER(D62),IF(AND(D62&gt;=0,D62&lt;=3),D62,"n.a."),"n.a."),IF($D$5=2,IF(ISNUMBER(D63),IF(AND(D63&gt;=0,D63&lt;=3),D63,"n.a."),"n.a."),"n.a."))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1.2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Construction cost advance rate</x:v>
      </x:c>
      <x:c r="D64" s="32" t="n">
        <x:f>IF($D$5=1,IF(ISNUMBER(D65),IF(AND(D65&gt;=0,D65&lt;=1),D65,"n.a."),"n.a."),IF($D$5=2,IF(ISNUMBER(D66),IF(AND(D66&gt;=0,D66&lt;=1),D66,"n.a."),"n.a."),"n.a."))</x:f>
        <x:v>0.7</x:v>
      </x:c>
      <x:c r="E64" s="33" t="str">
        <x:v>%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35" t="n">
        <x:v>0.7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35" t="n">
        <x:v>0.65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Construction commitment / value</x:v>
      </x:c>
      <x:c r="D67" s="32" t="n">
        <x:f>IF($D$5=1,IF(ISNUMBER(D68),IF(AND(D68&gt;=0,D68&lt;=1),D68,"n.a."),"n.a."),IF($D$5=2,IF(ISNUMBER(D69),IF(AND(D69&gt;=0,D69&lt;=1),D69,"n.a."),"n.a."),"n.a."))</x:f>
        <x:v>0.6</x:v>
      </x:c>
      <x:c r="E67" s="33" t="str">
        <x:v>%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35" t="n">
        <x:v>0.6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35" t="n">
        <x:v>0.55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24" t="str">
        <x:v>Accepted stabilized annual NCF</x:v>
      </x:c>
      <x:c r="D70" s="26" t="n">
        <x:f>IF($D$5=1,IF(ISNUMBER(D71),IF(AND(D71&gt;=0,D71&lt;=1000000000000),D71,"n.a."),"n.a."),IF($D$5=2,IF(ISNUMBER(D72),IF(AND(D72&gt;=0,D72&lt;=1000000000000),D72,"n.a."),"n.a."),"n.a."))</x:f>
        <x:v>1350000</x:v>
      </x:c>
      <x:c r="E70" s="22" t="str">
        <x:v>USD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28" t="str">
        <x:v>Base</x:v>
      </x:c>
      <x:c r="D71" s="27" t="n">
        <x:v>1350000</x:v>
      </x:c>
      <x:c r="E71" s="2"/>
      <x:c r="F71" s="2"/>
      <x:c r="G71" s="2"/>
      <x:c r="H71" s="2"/>
      <x:c r="I71" s="2"/>
      <x:c r="J71" s="2"/>
    </x:row>
    <x:row r="72" ht="21" customHeight="1">
      <x:c r="A72" s="2"/>
      <x:c r="B72" s="2"/>
      <x:c r="C72" s="28" t="str">
        <x:v>Downside</x:v>
      </x:c>
      <x:c r="D72" s="27" t="n">
        <x:v>1050000</x:v>
      </x:c>
      <x:c r="E72" s="2"/>
      <x:c r="F72" s="2"/>
      <x:c r="G72" s="2"/>
      <x:c r="H72" s="2"/>
      <x:c r="I72" s="2"/>
      <x:c r="J72" s="2"/>
    </x:row>
    <x:row r="73" ht="21" customHeight="1">
      <x:c r="A73" s="2"/>
      <x:c r="B73" s="2"/>
      <x:c r="C73" s="31" t="str">
        <x:v>Permanent exit note rate</x:v>
      </x:c>
      <x:c r="D73" s="32" t="n">
        <x:f>IF($D$5=1,IF(ISNUMBER(D74),IF(AND(D74&gt;=0,D74&lt;=1),D74,"n.a."),"n.a."),IF($D$5=2,IF(ISNUMBER(D75),IF(AND(D75&gt;=0,D75&lt;=1),D75,"n.a."),"n.a."),"n.a."))</x:f>
        <x:v>0.065</x:v>
      </x:c>
      <x:c r="E73" s="33" t="str">
        <x:v>%</x:v>
      </x:c>
      <x:c r="F73" s="2"/>
      <x:c r="G73" s="2"/>
      <x:c r="H73" s="2"/>
      <x:c r="I73" s="2"/>
      <x:c r="J73" s="2"/>
    </x:row>
    <x:row r="74" ht="21" customHeight="1">
      <x:c r="A74" s="2"/>
      <x:c r="B74" s="2"/>
      <x:c r="C74" s="34" t="str">
        <x:v>Base</x:v>
      </x:c>
      <x:c r="D74" s="35" t="n">
        <x:v>0.065</x:v>
      </x:c>
      <x:c r="E74" s="36"/>
      <x:c r="F74" s="2"/>
      <x:c r="G74" s="2"/>
      <x:c r="H74" s="2"/>
      <x:c r="I74" s="2"/>
      <x:c r="J74" s="2"/>
    </x:row>
    <x:row r="75" ht="21" customHeight="1">
      <x:c r="A75" s="2"/>
      <x:c r="B75" s="2"/>
      <x:c r="C75" s="34" t="str">
        <x:v>Downside</x:v>
      </x:c>
      <x:c r="D75" s="35" t="n">
        <x:v>0.08</x:v>
      </x:c>
      <x:c r="E75" s="36"/>
      <x:c r="F75" s="2"/>
      <x:c r="G75" s="2"/>
      <x:c r="H75" s="2"/>
      <x:c r="I75" s="2"/>
      <x:c r="J75" s="2"/>
    </x:row>
    <x:row r="76" ht="21" customHeight="1">
      <x:c r="A76" s="2"/>
      <x:c r="B76" s="2"/>
      <x:c r="C76" s="24" t="str">
        <x:v>Exit costs and new reserves</x:v>
      </x:c>
      <x:c r="D76" s="26" t="n">
        <x:f>IF($D$5=1,IF(ISNUMBER(D77),IF(AND(D77&gt;=0,D77&lt;=1000000000000),D77,"n.a."),"n.a."),IF($D$5=2,IF(ISNUMBER(D78),IF(AND(D78&gt;=0,D78&lt;=1000000000000),D78,"n.a."),"n.a."),"n.a."))</x:f>
        <x:v>250000</x:v>
      </x:c>
      <x:c r="E76" s="22" t="str">
        <x:v>USD</x:v>
      </x:c>
      <x:c r="F76" s="2"/>
      <x:c r="G76" s="2"/>
      <x:c r="H76" s="2"/>
      <x:c r="I76" s="2"/>
      <x:c r="J76" s="2"/>
    </x:row>
    <x:row r="77" ht="21" customHeight="1">
      <x:c r="A77" s="2"/>
      <x:c r="B77" s="2"/>
      <x:c r="C77" s="28" t="str">
        <x:v>Base</x:v>
      </x:c>
      <x:c r="D77" s="27" t="n">
        <x:v>250000</x:v>
      </x:c>
      <x:c r="E77" s="2"/>
      <x:c r="F77" s="2"/>
      <x:c r="G77" s="2"/>
      <x:c r="H77" s="2"/>
      <x:c r="I77" s="2"/>
      <x:c r="J77" s="2"/>
    </x:row>
    <x:row r="78" ht="21" customHeight="1">
      <x:c r="A78" s="2"/>
      <x:c r="B78" s="2"/>
      <x:c r="C78" s="28" t="str">
        <x:v>Downside</x:v>
      </x:c>
      <x:c r="D78" s="27" t="n">
        <x:v>300000</x:v>
      </x:c>
      <x:c r="E78" s="2"/>
      <x:c r="F78" s="2"/>
      <x:c r="G78" s="2"/>
      <x:c r="H78" s="2"/>
      <x:c r="I78" s="2"/>
      <x:c r="J78" s="2"/>
    </x:row>
    <x:row r="79" ht="21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21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  <x:row r="81" ht="21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</x:row>
    <x:row r="82" ht="21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</x:row>
    <x:row r="83" ht="21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</x:row>
    <x:row r="84" ht="21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</x:row>
  </x:sheetData>
  <x:dataValidations count="48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</x:formula2>
    </x:dataValidation>
    <x:dataValidation type="decimal" operator="between" sqref="D39">
      <x:formula1>0</x:formula1>
      <x:formula2>1</x:formula2>
    </x:dataValidation>
    <x:dataValidation type="decimal" operator="between" sqref="D41">
      <x:formula1>0.01</x:formula1>
      <x:formula2>10</x:formula2>
    </x:dataValidation>
    <x:dataValidation type="decimal" operator="between" sqref="D42">
      <x:formula1>0.01</x:formula1>
      <x:formula2>10</x:formula2>
    </x:dataValidation>
    <x:dataValidation type="decimal" operator="between" sqref="D44">
      <x:formula1>0.0001</x:formula1>
      <x:formula2>1</x:formula2>
    </x:dataValidation>
    <x:dataValidation type="decimal" operator="between" sqref="D45">
      <x:formula1>0.0001</x:formula1>
      <x:formula2>1</x:formula2>
    </x:dataValidation>
    <x:dataValidation type="decimal" operator="between" sqref="D47">
      <x:formula1>0</x:formula1>
      <x:formula2>1000000000000</x:formula2>
    </x:dataValidation>
    <x:dataValidation type="decimal" operator="between" sqref="D48">
      <x:formula1>0</x:formula1>
      <x:formula2>1000000000000</x:formula2>
    </x:dataValidation>
    <x:dataValidation type="decimal" operator="between" sqref="D50">
      <x:formula1>0</x:formula1>
      <x:formula2>1</x:formula2>
    </x:dataValidation>
    <x:dataValidation type="decimal" operator="between" sqref="D51">
      <x:formula1>0</x:formula1>
      <x:formula2>1</x:formula2>
    </x:dataValidation>
    <x:dataValidation type="decimal" operator="between" sqref="D53">
      <x:formula1>0</x:formula1>
      <x:formula2>2</x:formula2>
    </x:dataValidation>
    <x:dataValidation type="decimal" operator="between" sqref="D54">
      <x:formula1>0</x:formula1>
      <x:formula2>2</x:formula2>
    </x:dataValidation>
    <x:dataValidation type="decimal" operator="between" sqref="D56">
      <x:formula1>0</x:formula1>
      <x:formula2>2</x:formula2>
    </x:dataValidation>
    <x:dataValidation type="decimal" operator="between" sqref="D57">
      <x:formula1>0</x:formula1>
      <x:formula2>2</x:formula2>
    </x:dataValidation>
    <x:dataValidation type="decimal" operator="between" sqref="D59">
      <x:formula1>0</x:formula1>
      <x:formula2>3</x:formula2>
    </x:dataValidation>
    <x:dataValidation type="decimal" operator="between" sqref="D60">
      <x:formula1>0</x:formula1>
      <x:formula2>3</x:formula2>
    </x:dataValidation>
    <x:dataValidation type="decimal" operator="between" sqref="D62">
      <x:formula1>0</x:formula1>
      <x:formula2>3</x:formula2>
    </x:dataValidation>
    <x:dataValidation type="decimal" operator="between" sqref="D63">
      <x:formula1>0</x:formula1>
      <x:formula2>3</x:formula2>
    </x:dataValidation>
    <x:dataValidation type="decimal" operator="between" sqref="D65">
      <x:formula1>0</x:formula1>
      <x:formula2>1</x:formula2>
    </x:dataValidation>
    <x:dataValidation type="decimal" operator="between" sqref="D66">
      <x:formula1>0</x:formula1>
      <x:formula2>1</x:formula2>
    </x:dataValidation>
    <x:dataValidation type="decimal" operator="between" sqref="D68">
      <x:formula1>0</x:formula1>
      <x:formula2>1</x:formula2>
    </x:dataValidation>
    <x:dataValidation type="decimal" operator="between" sqref="D69">
      <x:formula1>0</x:formula1>
      <x:formula2>1</x:formula2>
    </x:dataValidation>
    <x:dataValidation type="decimal" operator="between" sqref="D71">
      <x:formula1>0</x:formula1>
      <x:formula2>1000000000000</x:formula2>
    </x:dataValidation>
    <x:dataValidation type="decimal" operator="between" sqref="D72">
      <x:formula1>0</x:formula1>
      <x:formula2>1000000000000</x:formula2>
    </x:dataValidation>
    <x:dataValidation type="decimal" operator="between" sqref="D74">
      <x:formula1>0</x:formula1>
      <x:formula2>1</x:formula2>
    </x:dataValidation>
    <x:dataValidation type="decimal" operator="between" sqref="D75">
      <x:formula1>0</x:formula1>
      <x:formula2>1</x:formula2>
    </x:dataValidation>
    <x:dataValidation type="decimal" operator="between" sqref="D77">
      <x:formula1>0</x:formula1>
      <x:formula2>1000000000000</x:formula2>
    </x:dataValidation>
    <x:dataValidation type="decimal" operator="between" sqref="D78">
      <x:formula1>0</x:formula1>
      <x:formula2>1000000000000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Project Plan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Month</x:v>
      </x:c>
      <x:c r="D9" s="21" t="str">
        <x:v>Hard construction costs</x:v>
      </x:c>
      <x:c r="E9" s="21" t="str">
        <x:v>Soft / professional costs</x:v>
      </x:c>
      <x:c r="F9" s="21" t="str">
        <x:v>Contingency actually spent</x:v>
      </x:c>
      <x:c r="G9" s="21" t="str">
        <x:v>Leasing / owner capital</x:v>
      </x:c>
      <x:c r="H9" s="21" t="str">
        <x:v>Operating cash received</x:v>
      </x:c>
      <x:c r="I9" s="21" t="str">
        <x:v>Operating cash expense</x:v>
      </x:c>
      <x:c r="J9" s="21" t="str">
        <x:v>New draw day</x:v>
      </x:c>
      <x:c r="K9" s="2"/>
      <x:c r="L9" s="2"/>
      <x:c r="M9" s="2"/>
      <x:c r="N9" s="21" t="str">
        <x:v>Input status</x:v>
      </x:c>
      <x:c r="O9" s="2"/>
      <x:c r="P9" s="2"/>
    </x:row>
    <x:row r="10" ht="21" customHeight="1">
      <x:c r="A10" s="2"/>
      <x:c r="B10" s="2"/>
      <x:c r="C10" s="43" t="n">
        <x:f>IF(ISNUMBER('Assumptions'!D7),IF(AND('Assumptions'!D7=INT('Assumptions'!D7),'Assumptions'!D7&gt;=2000,'Assumptions'!D7&lt;=2100),DATE('Assumptions'!D7,1,1),"n.a."),"n.a.")</x:f>
        <x:v>46388</x:v>
      </x:c>
      <x:c r="D10" s="27" t="n">
        <x:v>200000</x:v>
      </x:c>
      <x:c r="E10" s="27" t="n">
        <x:v>90000</x:v>
      </x:c>
      <x:c r="F10" s="27" t="n">
        <x:v>0</x:v>
      </x:c>
      <x:c r="G10" s="27" t="n">
        <x:v>0</x:v>
      </x:c>
      <x:c r="H10" s="27" t="n">
        <x:v>0</x:v>
      </x:c>
      <x:c r="I10" s="27" t="n">
        <x:v>0</x:v>
      </x:c>
      <x:c r="J10" s="16" t="n">
        <x:v>15</x:v>
      </x:c>
      <x:c r="K10" s="2"/>
      <x:c r="L10" s="2"/>
      <x:c r="M10" s="2"/>
      <x:c r="N10" s="13" t="str">
        <x:f>IF(AND(IF(ISNUMBER(D10),AND(D10&gt;=0,D10&lt;=1000000000000),FALSE),IF(ISNUMBER(E10),AND(E10&gt;=0,E10&lt;=1000000000000),FALSE),IF(ISNUMBER(F10),AND(F10&gt;=0,F10&lt;=1000000000000),FALSE),IF(ISNUMBER(G10),AND(G10&gt;=0,G10&lt;=1000000000000),FALSE),IF(ISNUMBER(H10),AND(H10&gt;=0,H10&lt;=1000000000000),FALSE),IF(ISNUMBER(I10),AND(I10&gt;=0,I10&lt;=1000000000000),FALSE),IF(ISNUMBER(J10),AND(J10&gt;=1,J10&lt;=31,J10=INT(J10),IF(ISNUMBER(C10),J10&lt;=DAY(EOMONTH(C10,0)),FALSE)),FALSE)),"OK","Missing / invalid input")</x:f>
        <x:v>OK</x:v>
      </x:c>
      <x:c r="O10" s="2"/>
      <x:c r="P10" s="2"/>
    </x:row>
    <x:row r="11" ht="21" customHeight="1">
      <x:c r="A11" s="2"/>
      <x:c r="B11" s="2"/>
      <x:c r="C11" s="43" t="n">
        <x:f>IF(ISNUMBER('Assumptions'!D7),IF(AND('Assumptions'!D7=INT('Assumptions'!D7),'Assumptions'!D7&gt;=2000,'Assumptions'!D7&lt;=2100),DATE('Assumptions'!D7,2,1),"n.a."),"n.a.")</x:f>
        <x:v>46419</x:v>
      </x:c>
      <x:c r="D11" s="27" t="n">
        <x:v>400000</x:v>
      </x:c>
      <x:c r="E11" s="27" t="n">
        <x:v>90000</x:v>
      </x:c>
      <x:c r="F11" s="27" t="n">
        <x:v>0</x:v>
      </x:c>
      <x:c r="G11" s="27" t="n">
        <x:v>0</x:v>
      </x:c>
      <x:c r="H11" s="27" t="n">
        <x:v>0</x:v>
      </x:c>
      <x:c r="I11" s="27" t="n">
        <x:v>0</x:v>
      </x:c>
      <x:c r="J11" s="16" t="n">
        <x:v>15</x:v>
      </x:c>
      <x:c r="K11" s="2"/>
      <x:c r="L11" s="2"/>
      <x:c r="M11" s="2"/>
      <x:c r="N11" s="13" t="str">
        <x:f>IF(AND(IF(ISNUMBER(D11),AND(D11&gt;=0,D11&lt;=1000000000000),FALSE),IF(ISNUMBER(E11),AND(E11&gt;=0,E11&lt;=1000000000000),FALSE),IF(ISNUMBER(F11),AND(F11&gt;=0,F11&lt;=1000000000000),FALSE),IF(ISNUMBER(G11),AND(G11&gt;=0,G11&lt;=1000000000000),FALSE),IF(ISNUMBER(H11),AND(H11&gt;=0,H11&lt;=1000000000000),FALSE),IF(ISNUMBER(I11),AND(I11&gt;=0,I11&lt;=1000000000000),FALSE),IF(ISNUMBER(J11),AND(J11&gt;=1,J11&lt;=31,J11=INT(J11),IF(ISNUMBER(C11),J11&lt;=DAY(EOMONTH(C11,0)),FALSE)),FALSE)),"OK","Missing / invalid input")</x:f>
        <x:v>OK</x:v>
      </x:c>
      <x:c r="O11" s="2"/>
      <x:c r="P11" s="2"/>
    </x:row>
    <x:row r="12" ht="21" customHeight="1">
      <x:c r="A12" s="2"/>
      <x:c r="B12" s="2"/>
      <x:c r="C12" s="43" t="n">
        <x:f>IF(ISNUMBER('Assumptions'!D7),IF(AND('Assumptions'!D7=INT('Assumptions'!D7),'Assumptions'!D7&gt;=2000,'Assumptions'!D7&lt;=2100),DATE('Assumptions'!D7,3,1),"n.a."),"n.a.")</x:f>
        <x:v>46447</x:v>
      </x:c>
      <x:c r="D12" s="27" t="n">
        <x:v>700000</x:v>
      </x:c>
      <x:c r="E12" s="27" t="n">
        <x:v>90000</x:v>
      </x:c>
      <x:c r="F12" s="27" t="n">
        <x:v>0</x:v>
      </x:c>
      <x:c r="G12" s="27" t="n">
        <x:v>0</x:v>
      </x:c>
      <x:c r="H12" s="27" t="n">
        <x:v>0</x:v>
      </x:c>
      <x:c r="I12" s="27" t="n">
        <x:v>0</x:v>
      </x:c>
      <x:c r="J12" s="16" t="n">
        <x:v>15</x:v>
      </x:c>
      <x:c r="K12" s="2"/>
      <x:c r="L12" s="2"/>
      <x:c r="M12" s="2"/>
      <x:c r="N12" s="13" t="str">
        <x:f>IF(AND(IF(ISNUMBER(D12),AND(D12&gt;=0,D12&lt;=1000000000000),FALSE),IF(ISNUMBER(E12),AND(E12&gt;=0,E12&lt;=1000000000000),FALSE),IF(ISNUMBER(F12),AND(F12&gt;=0,F12&lt;=1000000000000),FALSE),IF(ISNUMBER(G12),AND(G12&gt;=0,G12&lt;=1000000000000),FALSE),IF(ISNUMBER(H12),AND(H12&gt;=0,H12&lt;=1000000000000),FALSE),IF(ISNUMBER(I12),AND(I12&gt;=0,I12&lt;=1000000000000),FALSE),IF(ISNUMBER(J12),AND(J12&gt;=1,J12&lt;=31,J12=INT(J12),IF(ISNUMBER(C12),J12&lt;=DAY(EOMONTH(C12,0)),FALSE)),FALSE)),"OK","Missing / invalid input")</x:f>
        <x:v>OK</x:v>
      </x:c>
      <x:c r="O12" s="2"/>
      <x:c r="P12" s="2"/>
    </x:row>
    <x:row r="13" ht="21" customHeight="1">
      <x:c r="A13" s="2"/>
      <x:c r="B13" s="2"/>
      <x:c r="C13" s="43" t="n">
        <x:f>IF(ISNUMBER('Assumptions'!D7),IF(AND('Assumptions'!D7=INT('Assumptions'!D7),'Assumptions'!D7&gt;=2000,'Assumptions'!D7&lt;=2100),DATE('Assumptions'!D7,4,1),"n.a."),"n.a.")</x:f>
        <x:v>46478</x:v>
      </x:c>
      <x:c r="D13" s="27" t="n">
        <x:v>1000000</x:v>
      </x:c>
      <x:c r="E13" s="27" t="n">
        <x:v>90000</x:v>
      </x:c>
      <x:c r="F13" s="27" t="n">
        <x:v>0</x:v>
      </x:c>
      <x:c r="G13" s="27" t="n">
        <x:v>0</x:v>
      </x:c>
      <x:c r="H13" s="27" t="n">
        <x:v>0</x:v>
      </x:c>
      <x:c r="I13" s="27" t="n">
        <x:v>0</x:v>
      </x:c>
      <x:c r="J13" s="16" t="n">
        <x:v>15</x:v>
      </x:c>
      <x:c r="K13" s="2"/>
      <x:c r="L13" s="2"/>
      <x:c r="M13" s="2"/>
      <x:c r="N13" s="13" t="str">
        <x:f>IF(AND(IF(ISNUMBER(D13),AND(D13&gt;=0,D13&lt;=1000000000000),FALSE),IF(ISNUMBER(E13),AND(E13&gt;=0,E13&lt;=1000000000000),FALSE),IF(ISNUMBER(F13),AND(F13&gt;=0,F13&lt;=1000000000000),FALSE),IF(ISNUMBER(G13),AND(G13&gt;=0,G13&lt;=1000000000000),FALSE),IF(ISNUMBER(H13),AND(H13&gt;=0,H13&lt;=1000000000000),FALSE),IF(ISNUMBER(I13),AND(I13&gt;=0,I13&lt;=1000000000000),FALSE),IF(ISNUMBER(J13),AND(J13&gt;=1,J13&lt;=31,J13=INT(J13),IF(ISNUMBER(C13),J13&lt;=DAY(EOMONTH(C13,0)),FALSE)),FALSE)),"OK","Missing / invalid input")</x:f>
        <x:v>OK</x:v>
      </x:c>
      <x:c r="O13" s="2"/>
      <x:c r="P13" s="2"/>
    </x:row>
    <x:row r="14" ht="21" customHeight="1">
      <x:c r="A14" s="2"/>
      <x:c r="B14" s="2"/>
      <x:c r="C14" s="43" t="n">
        <x:f>IF(ISNUMBER('Assumptions'!D7),IF(AND('Assumptions'!D7=INT('Assumptions'!D7),'Assumptions'!D7&gt;=2000,'Assumptions'!D7&lt;=2100),DATE('Assumptions'!D7,5,1),"n.a."),"n.a.")</x:f>
        <x:v>46508</x:v>
      </x:c>
      <x:c r="D14" s="27" t="n">
        <x:v>1100000</x:v>
      </x:c>
      <x:c r="E14" s="27" t="n">
        <x:v>90000</x:v>
      </x:c>
      <x:c r="F14" s="27" t="n">
        <x:v>0</x:v>
      </x:c>
      <x:c r="G14" s="27" t="n">
        <x:v>0</x:v>
      </x:c>
      <x:c r="H14" s="27" t="n">
        <x:v>0</x:v>
      </x:c>
      <x:c r="I14" s="27" t="n">
        <x:v>0</x:v>
      </x:c>
      <x:c r="J14" s="16" t="n">
        <x:v>15</x:v>
      </x:c>
      <x:c r="K14" s="2"/>
      <x:c r="L14" s="2"/>
      <x:c r="M14" s="2"/>
      <x:c r="N14" s="13" t="str">
        <x:f>IF(AND(IF(ISNUMBER(D14),AND(D14&gt;=0,D14&lt;=1000000000000),FALSE),IF(ISNUMBER(E14),AND(E14&gt;=0,E14&lt;=1000000000000),FALSE),IF(ISNUMBER(F14),AND(F14&gt;=0,F14&lt;=1000000000000),FALSE),IF(ISNUMBER(G14),AND(G14&gt;=0,G14&lt;=1000000000000),FALSE),IF(ISNUMBER(H14),AND(H14&gt;=0,H14&lt;=1000000000000),FALSE),IF(ISNUMBER(I14),AND(I14&gt;=0,I14&lt;=1000000000000),FALSE),IF(ISNUMBER(J14),AND(J14&gt;=1,J14&lt;=31,J14=INT(J14),IF(ISNUMBER(C14),J14&lt;=DAY(EOMONTH(C14,0)),FALSE)),FALSE)),"OK","Missing / invalid input")</x:f>
        <x:v>OK</x:v>
      </x:c>
      <x:c r="O14" s="2"/>
      <x:c r="P14" s="2"/>
    </x:row>
    <x:row r="15" ht="21" customHeight="1">
      <x:c r="A15" s="2"/>
      <x:c r="B15" s="2"/>
      <x:c r="C15" s="43" t="n">
        <x:f>IF(ISNUMBER('Assumptions'!D7),IF(AND('Assumptions'!D7=INT('Assumptions'!D7),'Assumptions'!D7&gt;=2000,'Assumptions'!D7&lt;=2100),DATE('Assumptions'!D7,6,1),"n.a."),"n.a.")</x:f>
        <x:v>46539</x:v>
      </x:c>
      <x:c r="D15" s="27" t="n">
        <x:v>1100000</x:v>
      </x:c>
      <x:c r="E15" s="27" t="n">
        <x:v>90000</x:v>
      </x:c>
      <x:c r="F15" s="27" t="n">
        <x:v>0</x:v>
      </x:c>
      <x:c r="G15" s="27" t="n">
        <x:v>0</x:v>
      </x:c>
      <x:c r="H15" s="27" t="n">
        <x:v>0</x:v>
      </x:c>
      <x:c r="I15" s="27" t="n">
        <x:v>0</x:v>
      </x:c>
      <x:c r="J15" s="16" t="n">
        <x:v>15</x:v>
      </x:c>
      <x:c r="K15" s="2"/>
      <x:c r="L15" s="2"/>
      <x:c r="M15" s="2"/>
      <x:c r="N15" s="13" t="str">
        <x:f>IF(AND(IF(ISNUMBER(D15),AND(D15&gt;=0,D15&lt;=1000000000000),FALSE),IF(ISNUMBER(E15),AND(E15&gt;=0,E15&lt;=1000000000000),FALSE),IF(ISNUMBER(F15),AND(F15&gt;=0,F15&lt;=1000000000000),FALSE),IF(ISNUMBER(G15),AND(G15&gt;=0,G15&lt;=1000000000000),FALSE),IF(ISNUMBER(H15),AND(H15&gt;=0,H15&lt;=1000000000000),FALSE),IF(ISNUMBER(I15),AND(I15&gt;=0,I15&lt;=1000000000000),FALSE),IF(ISNUMBER(J15),AND(J15&gt;=1,J15&lt;=31,J15=INT(J15),IF(ISNUMBER(C15),J15&lt;=DAY(EOMONTH(C15,0)),FALSE)),FALSE)),"OK","Missing / invalid input")</x:f>
        <x:v>OK</x:v>
      </x:c>
      <x:c r="O15" s="2"/>
      <x:c r="P15" s="2"/>
    </x:row>
    <x:row r="16" ht="21" customHeight="1">
      <x:c r="A16" s="2"/>
      <x:c r="B16" s="2"/>
      <x:c r="C16" s="43" t="n">
        <x:f>IF(ISNUMBER('Assumptions'!D7),IF(AND('Assumptions'!D7=INT('Assumptions'!D7),'Assumptions'!D7&gt;=2000,'Assumptions'!D7&lt;=2100),DATE('Assumptions'!D7,7,1),"n.a."),"n.a.")</x:f>
        <x:v>46569</x:v>
      </x:c>
      <x:c r="D16" s="27" t="n">
        <x:v>1000000</x:v>
      </x:c>
      <x:c r="E16" s="27" t="n">
        <x:v>90000</x:v>
      </x:c>
      <x:c r="F16" s="27" t="n">
        <x:v>0</x:v>
      </x:c>
      <x:c r="G16" s="27" t="n">
        <x:v>0</x:v>
      </x:c>
      <x:c r="H16" s="27" t="n">
        <x:v>0</x:v>
      </x:c>
      <x:c r="I16" s="27" t="n">
        <x:v>0</x:v>
      </x:c>
      <x:c r="J16" s="16" t="n">
        <x:v>15</x:v>
      </x:c>
      <x:c r="K16" s="2"/>
      <x:c r="L16" s="2"/>
      <x:c r="M16" s="2"/>
      <x:c r="N16" s="13" t="str">
        <x:f>IF(AND(IF(ISNUMBER(D16),AND(D16&gt;=0,D16&lt;=1000000000000),FALSE),IF(ISNUMBER(E16),AND(E16&gt;=0,E16&lt;=1000000000000),FALSE),IF(ISNUMBER(F16),AND(F16&gt;=0,F16&lt;=1000000000000),FALSE),IF(ISNUMBER(G16),AND(G16&gt;=0,G16&lt;=1000000000000),FALSE),IF(ISNUMBER(H16),AND(H16&gt;=0,H16&lt;=1000000000000),FALSE),IF(ISNUMBER(I16),AND(I16&gt;=0,I16&lt;=1000000000000),FALSE),IF(ISNUMBER(J16),AND(J16&gt;=1,J16&lt;=31,J16=INT(J16),IF(ISNUMBER(C16),J16&lt;=DAY(EOMONTH(C16,0)),FALSE)),FALSE)),"OK","Missing / invalid input")</x:f>
        <x:v>OK</x:v>
      </x:c>
      <x:c r="O16" s="2"/>
      <x:c r="P16" s="2"/>
    </x:row>
    <x:row r="17" ht="21" customHeight="1">
      <x:c r="A17" s="2"/>
      <x:c r="B17" s="2"/>
      <x:c r="C17" s="43" t="n">
        <x:f>IF(ISNUMBER('Assumptions'!D7),IF(AND('Assumptions'!D7=INT('Assumptions'!D7),'Assumptions'!D7&gt;=2000,'Assumptions'!D7&lt;=2100),DATE('Assumptions'!D7,8,1),"n.a."),"n.a.")</x:f>
        <x:v>46600</x:v>
      </x:c>
      <x:c r="D17" s="27" t="n">
        <x:v>900000</x:v>
      </x:c>
      <x:c r="E17" s="27" t="n">
        <x:v>90000</x:v>
      </x:c>
      <x:c r="F17" s="27" t="n">
        <x:v>200000</x:v>
      </x:c>
      <x:c r="G17" s="27" t="n">
        <x:v>0</x:v>
      </x:c>
      <x:c r="H17" s="27" t="n">
        <x:v>0</x:v>
      </x:c>
      <x:c r="I17" s="27" t="n">
        <x:v>0</x:v>
      </x:c>
      <x:c r="J17" s="16" t="n">
        <x:v>15</x:v>
      </x:c>
      <x:c r="K17" s="2"/>
      <x:c r="L17" s="2"/>
      <x:c r="M17" s="2"/>
      <x:c r="N17" s="13" t="str">
        <x:f>IF(AND(IF(ISNUMBER(D17),AND(D17&gt;=0,D17&lt;=1000000000000),FALSE),IF(ISNUMBER(E17),AND(E17&gt;=0,E17&lt;=1000000000000),FALSE),IF(ISNUMBER(F17),AND(F17&gt;=0,F17&lt;=1000000000000),FALSE),IF(ISNUMBER(G17),AND(G17&gt;=0,G17&lt;=1000000000000),FALSE),IF(ISNUMBER(H17),AND(H17&gt;=0,H17&lt;=1000000000000),FALSE),IF(ISNUMBER(I17),AND(I17&gt;=0,I17&lt;=1000000000000),FALSE),IF(ISNUMBER(J17),AND(J17&gt;=1,J17&lt;=31,J17=INT(J17),IF(ISNUMBER(C17),J17&lt;=DAY(EOMONTH(C17,0)),FALSE)),FALSE)),"OK","Missing / invalid input")</x:f>
        <x:v>OK</x:v>
      </x:c>
      <x:c r="O17" s="2"/>
      <x:c r="P17" s="2"/>
    </x:row>
    <x:row r="18" ht="21" customHeight="1">
      <x:c r="A18" s="2"/>
      <x:c r="B18" s="2"/>
      <x:c r="C18" s="43" t="n">
        <x:f>IF(ISNUMBER('Assumptions'!D7),IF(AND('Assumptions'!D7=INT('Assumptions'!D7),'Assumptions'!D7&gt;=2000,'Assumptions'!D7&lt;=2100),DATE('Assumptions'!D7,9,1),"n.a."),"n.a.")</x:f>
        <x:v>46631</x:v>
      </x:c>
      <x:c r="D18" s="27" t="n">
        <x:v>700000</x:v>
      </x:c>
      <x:c r="E18" s="27" t="n">
        <x:v>90000</x:v>
      </x:c>
      <x:c r="F18" s="27" t="n">
        <x:v>0</x:v>
      </x:c>
      <x:c r="G18" s="27" t="n">
        <x:v>0</x:v>
      </x:c>
      <x:c r="H18" s="27" t="n">
        <x:v>0</x:v>
      </x:c>
      <x:c r="I18" s="27" t="n">
        <x:v>0</x:v>
      </x:c>
      <x:c r="J18" s="16" t="n">
        <x:v>15</x:v>
      </x:c>
      <x:c r="K18" s="2"/>
      <x:c r="L18" s="2"/>
      <x:c r="M18" s="2"/>
      <x:c r="N18" s="13" t="str">
        <x:f>IF(AND(IF(ISNUMBER(D18),AND(D18&gt;=0,D18&lt;=1000000000000),FALSE),IF(ISNUMBER(E18),AND(E18&gt;=0,E18&lt;=1000000000000),FALSE),IF(ISNUMBER(F18),AND(F18&gt;=0,F18&lt;=1000000000000),FALSE),IF(ISNUMBER(G18),AND(G18&gt;=0,G18&lt;=1000000000000),FALSE),IF(ISNUMBER(H18),AND(H18&gt;=0,H18&lt;=1000000000000),FALSE),IF(ISNUMBER(I18),AND(I18&gt;=0,I18&lt;=1000000000000),FALSE),IF(ISNUMBER(J18),AND(J18&gt;=1,J18&lt;=31,J18=INT(J18),IF(ISNUMBER(C18),J18&lt;=DAY(EOMONTH(C18,0)),FALSE)),FALSE)),"OK","Missing / invalid input")</x:f>
        <x:v>OK</x:v>
      </x:c>
      <x:c r="O18" s="2"/>
      <x:c r="P18" s="2"/>
    </x:row>
    <x:row r="19" ht="21" customHeight="1">
      <x:c r="A19" s="2"/>
      <x:c r="B19" s="2"/>
      <x:c r="C19" s="43" t="n">
        <x:f>IF(ISNUMBER('Assumptions'!D7),IF(AND('Assumptions'!D7=INT('Assumptions'!D7),'Assumptions'!D7&gt;=2000,'Assumptions'!D7&lt;=2100),DATE('Assumptions'!D7,10,1),"n.a."),"n.a.")</x:f>
        <x:v>46661</x:v>
      </x:c>
      <x:c r="D19" s="27" t="n">
        <x:v>500000</x:v>
      </x:c>
      <x:c r="E19" s="27" t="n">
        <x:v>90000</x:v>
      </x:c>
      <x:c r="F19" s="27" t="n">
        <x:v>0</x:v>
      </x:c>
      <x:c r="G19" s="27" t="n">
        <x:v>150000</x:v>
      </x:c>
      <x:c r="H19" s="27" t="n">
        <x:v>40000</x:v>
      </x:c>
      <x:c r="I19" s="27" t="n">
        <x:v>25000</x:v>
      </x:c>
      <x:c r="J19" s="16" t="n">
        <x:v>15</x:v>
      </x:c>
      <x:c r="K19" s="2"/>
      <x:c r="L19" s="2"/>
      <x:c r="M19" s="2"/>
      <x:c r="N19" s="13" t="str">
        <x:f>IF(AND(IF(ISNUMBER(D19),AND(D19&gt;=0,D19&lt;=1000000000000),FALSE),IF(ISNUMBER(E19),AND(E19&gt;=0,E19&lt;=1000000000000),FALSE),IF(ISNUMBER(F19),AND(F19&gt;=0,F19&lt;=1000000000000),FALSE),IF(ISNUMBER(G19),AND(G19&gt;=0,G19&lt;=1000000000000),FALSE),IF(ISNUMBER(H19),AND(H19&gt;=0,H19&lt;=1000000000000),FALSE),IF(ISNUMBER(I19),AND(I19&gt;=0,I19&lt;=1000000000000),FALSE),IF(ISNUMBER(J19),AND(J19&gt;=1,J19&lt;=31,J19=INT(J19),IF(ISNUMBER(C19),J19&lt;=DAY(EOMONTH(C19,0)),FALSE)),FALSE)),"OK","Missing / invalid input")</x:f>
        <x:v>OK</x:v>
      </x:c>
      <x:c r="O19" s="2"/>
      <x:c r="P19" s="2"/>
    </x:row>
    <x:row r="20" ht="21" customHeight="1">
      <x:c r="A20" s="2"/>
      <x:c r="B20" s="2"/>
      <x:c r="C20" s="43" t="n">
        <x:f>IF(ISNUMBER('Assumptions'!D7),IF(AND('Assumptions'!D7=INT('Assumptions'!D7),'Assumptions'!D7&gt;=2000,'Assumptions'!D7&lt;=2100),DATE('Assumptions'!D7,11,1),"n.a."),"n.a.")</x:f>
        <x:v>46692</x:v>
      </x:c>
      <x:c r="D20" s="27" t="n">
        <x:v>300000</x:v>
      </x:c>
      <x:c r="E20" s="27" t="n">
        <x:v>90000</x:v>
      </x:c>
      <x:c r="F20" s="27" t="n">
        <x:v>0</x:v>
      </x:c>
      <x:c r="G20" s="27" t="n">
        <x:v>150000</x:v>
      </x:c>
      <x:c r="H20" s="27" t="n">
        <x:v>80000</x:v>
      </x:c>
      <x:c r="I20" s="27" t="n">
        <x:v>25000</x:v>
      </x:c>
      <x:c r="J20" s="16" t="n">
        <x:v>15</x:v>
      </x:c>
      <x:c r="K20" s="2"/>
      <x:c r="L20" s="2"/>
      <x:c r="M20" s="2"/>
      <x:c r="N20" s="13" t="str">
        <x:f>IF(AND(IF(ISNUMBER(D20),AND(D20&gt;=0,D20&lt;=1000000000000),FALSE),IF(ISNUMBER(E20),AND(E20&gt;=0,E20&lt;=1000000000000),FALSE),IF(ISNUMBER(F20),AND(F20&gt;=0,F20&lt;=1000000000000),FALSE),IF(ISNUMBER(G20),AND(G20&gt;=0,G20&lt;=1000000000000),FALSE),IF(ISNUMBER(H20),AND(H20&gt;=0,H20&lt;=1000000000000),FALSE),IF(ISNUMBER(I20),AND(I20&gt;=0,I20&lt;=1000000000000),FALSE),IF(ISNUMBER(J20),AND(J20&gt;=1,J20&lt;=31,J20=INT(J20),IF(ISNUMBER(C20),J20&lt;=DAY(EOMONTH(C20,0)),FALSE)),FALSE)),"OK","Missing / invalid input")</x:f>
        <x:v>OK</x:v>
      </x:c>
      <x:c r="O20" s="2"/>
      <x:c r="P20" s="2"/>
    </x:row>
    <x:row r="21" ht="21" customHeight="1">
      <x:c r="A21" s="2"/>
      <x:c r="B21" s="2"/>
      <x:c r="C21" s="43" t="n">
        <x:f>IF(ISNUMBER('Assumptions'!D7),IF(AND('Assumptions'!D7=INT('Assumptions'!D7),'Assumptions'!D7&gt;=2000,'Assumptions'!D7&lt;=2100),DATE('Assumptions'!D7,12,1),"n.a."),"n.a.")</x:f>
        <x:v>46722</x:v>
      </x:c>
      <x:c r="D21" s="27" t="n">
        <x:v>100000</x:v>
      </x:c>
      <x:c r="E21" s="27" t="n">
        <x:v>90000</x:v>
      </x:c>
      <x:c r="F21" s="27" t="n">
        <x:v>0</x:v>
      </x:c>
      <x:c r="G21" s="27" t="n">
        <x:v>150000</x:v>
      </x:c>
      <x:c r="H21" s="27" t="n">
        <x:v>120000</x:v>
      </x:c>
      <x:c r="I21" s="27" t="n">
        <x:v>25000</x:v>
      </x:c>
      <x:c r="J21" s="16" t="n">
        <x:v>15</x:v>
      </x:c>
      <x:c r="K21" s="2"/>
      <x:c r="L21" s="2"/>
      <x:c r="M21" s="2"/>
      <x:c r="N21" s="13" t="str">
        <x:f>IF(AND(IF(ISNUMBER(D21),AND(D21&gt;=0,D21&lt;=1000000000000),FALSE),IF(ISNUMBER(E21),AND(E21&gt;=0,E21&lt;=1000000000000),FALSE),IF(ISNUMBER(F21),AND(F21&gt;=0,F21&lt;=1000000000000),FALSE),IF(ISNUMBER(G21),AND(G21&gt;=0,G21&lt;=1000000000000),FALSE),IF(ISNUMBER(H21),AND(H21&gt;=0,H21&lt;=1000000000000),FALSE),IF(ISNUMBER(I21),AND(I21&gt;=0,I21&lt;=1000000000000),FALSE),IF(ISNUMBER(J21),AND(J21&gt;=1,J21&lt;=31,J21=INT(J21),IF(ISNUMBER(C21),J21&lt;=DAY(EOMONTH(C21,0)),FALSE)),FALSE)),"OK","Missing / invalid input")</x:f>
        <x:v>OK</x:v>
      </x:c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conditionalFormatting sqref="N10:N21">
    <x:cfRule type="containsText" dxfId="0" priority="1" operator="containsText" text="invalid"/>
  </x:conditionalFormatting>
  <x:dataValidations count="84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1000000000000</x:formula2>
    </x:dataValidation>
    <x:dataValidation type="decimal" operator="between" sqref="F10">
      <x:formula1>0</x:formula1>
      <x:formula2>1000000000000</x:formula2>
    </x:dataValidation>
    <x:dataValidation type="decimal" operator="between" sqref="G10">
      <x:formula1>0</x:formula1>
      <x:formula2>1000000000000</x:formula2>
    </x:dataValidation>
    <x:dataValidation type="decimal" operator="between" sqref="H10">
      <x:formula1>0</x:formula1>
      <x:formula2>1000000000000</x:formula2>
    </x:dataValidation>
    <x:dataValidation type="decimal" operator="between" sqref="I10">
      <x:formula1>0</x:formula1>
      <x:formula2>1000000000000</x:formula2>
    </x:dataValidation>
    <x:dataValidation type="decimal" operator="between" sqref="J10">
      <x:formula1>1</x:formula1>
      <x:formula2>31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1000000000000</x:formula2>
    </x:dataValidation>
    <x:dataValidation type="decimal" operator="between" sqref="F11">
      <x:formula1>0</x:formula1>
      <x:formula2>1000000000000</x:formula2>
    </x:dataValidation>
    <x:dataValidation type="decimal" operator="between" sqref="G11">
      <x:formula1>0</x:formula1>
      <x:formula2>1000000000000</x:formula2>
    </x:dataValidation>
    <x:dataValidation type="decimal" operator="between" sqref="H11">
      <x:formula1>0</x:formula1>
      <x:formula2>1000000000000</x:formula2>
    </x:dataValidation>
    <x:dataValidation type="decimal" operator="between" sqref="I11">
      <x:formula1>0</x:formula1>
      <x:formula2>1000000000000</x:formula2>
    </x:dataValidation>
    <x:dataValidation type="decimal" operator="between" sqref="J11">
      <x:formula1>1</x:formula1>
      <x:formula2>31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1000000000000</x:formula2>
    </x:dataValidation>
    <x:dataValidation type="decimal" operator="between" sqref="F12">
      <x:formula1>0</x:formula1>
      <x:formula2>1000000000000</x:formula2>
    </x:dataValidation>
    <x:dataValidation type="decimal" operator="between" sqref="G12">
      <x:formula1>0</x:formula1>
      <x:formula2>1000000000000</x:formula2>
    </x:dataValidation>
    <x:dataValidation type="decimal" operator="between" sqref="H12">
      <x:formula1>0</x:formula1>
      <x:formula2>1000000000000</x:formula2>
    </x:dataValidation>
    <x:dataValidation type="decimal" operator="between" sqref="I12">
      <x:formula1>0</x:formula1>
      <x:formula2>1000000000000</x:formula2>
    </x:dataValidation>
    <x:dataValidation type="decimal" operator="between" sqref="J12">
      <x:formula1>1</x:formula1>
      <x:formula2>31</x:formula2>
    </x:dataValidation>
    <x:dataValidation type="decimal" operator="between" sqref="D13">
      <x:formula1>0</x:formula1>
      <x:formula2>1000000000000</x:formula2>
    </x:dataValidation>
    <x:dataValidation type="decimal" operator="between" sqref="E13">
      <x:formula1>0</x:formula1>
      <x:formula2>1000000000000</x:formula2>
    </x:dataValidation>
    <x:dataValidation type="decimal" operator="between" sqref="F13">
      <x:formula1>0</x:formula1>
      <x:formula2>1000000000000</x:formula2>
    </x:dataValidation>
    <x:dataValidation type="decimal" operator="between" sqref="G13">
      <x:formula1>0</x:formula1>
      <x:formula2>1000000000000</x:formula2>
    </x:dataValidation>
    <x:dataValidation type="decimal" operator="between" sqref="H13">
      <x:formula1>0</x:formula1>
      <x:formula2>1000000000000</x:formula2>
    </x:dataValidation>
    <x:dataValidation type="decimal" operator="between" sqref="I13">
      <x:formula1>0</x:formula1>
      <x:formula2>1000000000000</x:formula2>
    </x:dataValidation>
    <x:dataValidation type="decimal" operator="between" sqref="J13">
      <x:formula1>1</x:formula1>
      <x:formula2>31</x:formula2>
    </x:dataValidation>
    <x:dataValidation type="decimal" operator="between" sqref="D14">
      <x:formula1>0</x:formula1>
      <x:formula2>1000000000000</x:formula2>
    </x:dataValidation>
    <x:dataValidation type="decimal" operator="between" sqref="E14">
      <x:formula1>0</x:formula1>
      <x:formula2>1000000000000</x:formula2>
    </x:dataValidation>
    <x:dataValidation type="decimal" operator="between" sqref="F14">
      <x:formula1>0</x:formula1>
      <x:formula2>1000000000000</x:formula2>
    </x:dataValidation>
    <x:dataValidation type="decimal" operator="between" sqref="G14">
      <x:formula1>0</x:formula1>
      <x:formula2>1000000000000</x:formula2>
    </x:dataValidation>
    <x:dataValidation type="decimal" operator="between" sqref="H14">
      <x:formula1>0</x:formula1>
      <x:formula2>1000000000000</x:formula2>
    </x:dataValidation>
    <x:dataValidation type="decimal" operator="between" sqref="I14">
      <x:formula1>0</x:formula1>
      <x:formula2>1000000000000</x:formula2>
    </x:dataValidation>
    <x:dataValidation type="decimal" operator="between" sqref="J14">
      <x:formula1>1</x:formula1>
      <x:formula2>31</x:formula2>
    </x:dataValidation>
    <x:dataValidation type="decimal" operator="between" sqref="D15">
      <x:formula1>0</x:formula1>
      <x:formula2>1000000000000</x:formula2>
    </x:dataValidation>
    <x:dataValidation type="decimal" operator="between" sqref="E15">
      <x:formula1>0</x:formula1>
      <x:formula2>1000000000000</x:formula2>
    </x:dataValidation>
    <x:dataValidation type="decimal" operator="between" sqref="F15">
      <x:formula1>0</x:formula1>
      <x:formula2>1000000000000</x:formula2>
    </x:dataValidation>
    <x:dataValidation type="decimal" operator="between" sqref="G15">
      <x:formula1>0</x:formula1>
      <x:formula2>1000000000000</x:formula2>
    </x:dataValidation>
    <x:dataValidation type="decimal" operator="between" sqref="H15">
      <x:formula1>0</x:formula1>
      <x:formula2>1000000000000</x:formula2>
    </x:dataValidation>
    <x:dataValidation type="decimal" operator="between" sqref="I15">
      <x:formula1>0</x:formula1>
      <x:formula2>1000000000000</x:formula2>
    </x:dataValidation>
    <x:dataValidation type="decimal" operator="between" sqref="J15">
      <x:formula1>1</x:formula1>
      <x:formula2>31</x:formula2>
    </x:dataValidation>
    <x:dataValidation type="decimal" operator="between" sqref="D16">
      <x:formula1>0</x:formula1>
      <x:formula2>1000000000000</x:formula2>
    </x:dataValidation>
    <x:dataValidation type="decimal" operator="between" sqref="E16">
      <x:formula1>0</x:formula1>
      <x:formula2>1000000000000</x:formula2>
    </x:dataValidation>
    <x:dataValidation type="decimal" operator="between" sqref="F16">
      <x:formula1>0</x:formula1>
      <x:formula2>1000000000000</x:formula2>
    </x:dataValidation>
    <x:dataValidation type="decimal" operator="between" sqref="G16">
      <x:formula1>0</x:formula1>
      <x:formula2>1000000000000</x:formula2>
    </x:dataValidation>
    <x:dataValidation type="decimal" operator="between" sqref="H16">
      <x:formula1>0</x:formula1>
      <x:formula2>1000000000000</x:formula2>
    </x:dataValidation>
    <x:dataValidation type="decimal" operator="between" sqref="I16">
      <x:formula1>0</x:formula1>
      <x:formula2>1000000000000</x:formula2>
    </x:dataValidation>
    <x:dataValidation type="decimal" operator="between" sqref="J16">
      <x:formula1>1</x:formula1>
      <x:formula2>31</x:formula2>
    </x:dataValidation>
    <x:dataValidation type="decimal" operator="between" sqref="D17">
      <x:formula1>0</x:formula1>
      <x:formula2>1000000000000</x:formula2>
    </x:dataValidation>
    <x:dataValidation type="decimal" operator="between" sqref="E17">
      <x:formula1>0</x:formula1>
      <x:formula2>1000000000000</x:formula2>
    </x:dataValidation>
    <x:dataValidation type="decimal" operator="between" sqref="F17">
      <x:formula1>0</x:formula1>
      <x:formula2>1000000000000</x:formula2>
    </x:dataValidation>
    <x:dataValidation type="decimal" operator="between" sqref="G17">
      <x:formula1>0</x:formula1>
      <x:formula2>1000000000000</x:formula2>
    </x:dataValidation>
    <x:dataValidation type="decimal" operator="between" sqref="H17">
      <x:formula1>0</x:formula1>
      <x:formula2>1000000000000</x:formula2>
    </x:dataValidation>
    <x:dataValidation type="decimal" operator="between" sqref="I17">
      <x:formula1>0</x:formula1>
      <x:formula2>1000000000000</x:formula2>
    </x:dataValidation>
    <x:dataValidation type="decimal" operator="between" sqref="J17">
      <x:formula1>1</x:formula1>
      <x:formula2>31</x:formula2>
    </x:dataValidation>
    <x:dataValidation type="decimal" operator="between" sqref="D18">
      <x:formula1>0</x:formula1>
      <x:formula2>1000000000000</x:formula2>
    </x:dataValidation>
    <x:dataValidation type="decimal" operator="between" sqref="E18">
      <x:formula1>0</x:formula1>
      <x:formula2>1000000000000</x:formula2>
    </x:dataValidation>
    <x:dataValidation type="decimal" operator="between" sqref="F18">
      <x:formula1>0</x:formula1>
      <x:formula2>1000000000000</x:formula2>
    </x:dataValidation>
    <x:dataValidation type="decimal" operator="between" sqref="G18">
      <x:formula1>0</x:formula1>
      <x:formula2>1000000000000</x:formula2>
    </x:dataValidation>
    <x:dataValidation type="decimal" operator="between" sqref="H18">
      <x:formula1>0</x:formula1>
      <x:formula2>1000000000000</x:formula2>
    </x:dataValidation>
    <x:dataValidation type="decimal" operator="between" sqref="I18">
      <x:formula1>0</x:formula1>
      <x:formula2>1000000000000</x:formula2>
    </x:dataValidation>
    <x:dataValidation type="decimal" operator="between" sqref="J18">
      <x:formula1>1</x:formula1>
      <x:formula2>31</x:formula2>
    </x:dataValidation>
    <x:dataValidation type="decimal" operator="between" sqref="D19">
      <x:formula1>0</x:formula1>
      <x:formula2>1000000000000</x:formula2>
    </x:dataValidation>
    <x:dataValidation type="decimal" operator="between" sqref="E19">
      <x:formula1>0</x:formula1>
      <x:formula2>1000000000000</x:formula2>
    </x:dataValidation>
    <x:dataValidation type="decimal" operator="between" sqref="F19">
      <x:formula1>0</x:formula1>
      <x:formula2>1000000000000</x:formula2>
    </x:dataValidation>
    <x:dataValidation type="decimal" operator="between" sqref="G19">
      <x:formula1>0</x:formula1>
      <x:formula2>1000000000000</x:formula2>
    </x:dataValidation>
    <x:dataValidation type="decimal" operator="between" sqref="H19">
      <x:formula1>0</x:formula1>
      <x:formula2>1000000000000</x:formula2>
    </x:dataValidation>
    <x:dataValidation type="decimal" operator="between" sqref="I19">
      <x:formula1>0</x:formula1>
      <x:formula2>1000000000000</x:formula2>
    </x:dataValidation>
    <x:dataValidation type="decimal" operator="between" sqref="J19">
      <x:formula1>1</x:formula1>
      <x:formula2>31</x:formula2>
    </x:dataValidation>
    <x:dataValidation type="decimal" operator="between" sqref="D20">
      <x:formula1>0</x:formula1>
      <x:formula2>1000000000000</x:formula2>
    </x:dataValidation>
    <x:dataValidation type="decimal" operator="between" sqref="E20">
      <x:formula1>0</x:formula1>
      <x:formula2>1000000000000</x:formula2>
    </x:dataValidation>
    <x:dataValidation type="decimal" operator="between" sqref="F20">
      <x:formula1>0</x:formula1>
      <x:formula2>1000000000000</x:formula2>
    </x:dataValidation>
    <x:dataValidation type="decimal" operator="between" sqref="G20">
      <x:formula1>0</x:formula1>
      <x:formula2>1000000000000</x:formula2>
    </x:dataValidation>
    <x:dataValidation type="decimal" operator="between" sqref="H20">
      <x:formula1>0</x:formula1>
      <x:formula2>1000000000000</x:formula2>
    </x:dataValidation>
    <x:dataValidation type="decimal" operator="between" sqref="I20">
      <x:formula1>0</x:formula1>
      <x:formula2>1000000000000</x:formula2>
    </x:dataValidation>
    <x:dataValidation type="decimal" operator="between" sqref="J20">
      <x:formula1>1</x:formula1>
      <x:formula2>31</x:formula2>
    </x:dataValidation>
    <x:dataValidation type="decimal" operator="between" sqref="D21">
      <x:formula1>0</x:formula1>
      <x:formula2>1000000000000</x:formula2>
    </x:dataValidation>
    <x:dataValidation type="decimal" operator="between" sqref="E21">
      <x:formula1>0</x:formula1>
      <x:formula2>1000000000000</x:formula2>
    </x:dataValidation>
    <x:dataValidation type="decimal" operator="between" sqref="F21">
      <x:formula1>0</x:formula1>
      <x:formula2>1000000000000</x:formula2>
    </x:dataValidation>
    <x:dataValidation type="decimal" operator="between" sqref="G21">
      <x:formula1>0</x:formula1>
      <x:formula2>1000000000000</x:formula2>
    </x:dataValidation>
    <x:dataValidation type="decimal" operator="between" sqref="H21">
      <x:formula1>0</x:formula1>
      <x:formula2>1000000000000</x:formula2>
    </x:dataValidation>
    <x:dataValidation type="decimal" operator="between" sqref="I21">
      <x:formula1>0</x:formula1>
      <x:formula2>1000000000000</x:formula2>
    </x:dataValidation>
    <x:dataValidation type="decimal" operator="between" sqref="J21">
      <x:formula1>1</x:formula1>
      <x:formula2>31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6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6" t="n">
        <x:f>IF(ISNUMBER('Assumptions'!D7),IF(AND('Assumptions'!D7=INT('Assumptions'!D7),'Assumptions'!D7&gt;=2000,'Assumptions'!D7&lt;=2100),DATE('Assumptions'!D7,1,1),"n.a."),"n.a.")</x:f>
        <x:v>46388</x:v>
      </x:c>
      <x:c r="H9" s="46" t="n">
        <x:f>IF(ISNUMBER('Assumptions'!D7),IF(AND('Assumptions'!D7=INT('Assumptions'!D7),'Assumptions'!D7&gt;=2000,'Assumptions'!D7&lt;=2100),DATE('Assumptions'!D7,2,1),"n.a."),"n.a.")</x:f>
        <x:v>46419</x:v>
      </x:c>
      <x:c r="I9" s="46" t="n">
        <x:f>IF(ISNUMBER('Assumptions'!D7),IF(AND('Assumptions'!D7=INT('Assumptions'!D7),'Assumptions'!D7&gt;=2000,'Assumptions'!D7&lt;=2100),DATE('Assumptions'!D7,3,1),"n.a."),"n.a.")</x:f>
        <x:v>46447</x:v>
      </x:c>
      <x:c r="J9" s="46" t="n">
        <x:f>IF(ISNUMBER('Assumptions'!D7),IF(AND('Assumptions'!D7=INT('Assumptions'!D7),'Assumptions'!D7&gt;=2000,'Assumptions'!D7&lt;=2100),DATE('Assumptions'!D7,4,1),"n.a."),"n.a.")</x:f>
        <x:v>46478</x:v>
      </x:c>
      <x:c r="K9" s="46" t="n">
        <x:f>IF(ISNUMBER('Assumptions'!D7),IF(AND('Assumptions'!D7=INT('Assumptions'!D7),'Assumptions'!D7&gt;=2000,'Assumptions'!D7&lt;=2100),DATE('Assumptions'!D7,5,1),"n.a."),"n.a.")</x:f>
        <x:v>46508</x:v>
      </x:c>
      <x:c r="L9" s="46" t="n">
        <x:f>IF(ISNUMBER('Assumptions'!D7),IF(AND('Assumptions'!D7=INT('Assumptions'!D7),'Assumptions'!D7&gt;=2000,'Assumptions'!D7&lt;=2100),DATE('Assumptions'!D7,6,1),"n.a."),"n.a.")</x:f>
        <x:v>46539</x:v>
      </x:c>
      <x:c r="M9" s="46" t="n">
        <x:f>IF(ISNUMBER('Assumptions'!D7),IF(AND('Assumptions'!D7=INT('Assumptions'!D7),'Assumptions'!D7&gt;=2000,'Assumptions'!D7&lt;=2100),DATE('Assumptions'!D7,7,1),"n.a."),"n.a.")</x:f>
        <x:v>46569</x:v>
      </x:c>
      <x:c r="N9" s="46" t="n">
        <x:f>IF(ISNUMBER('Assumptions'!D7),IF(AND('Assumptions'!D7=INT('Assumptions'!D7),'Assumptions'!D7&gt;=2000,'Assumptions'!D7&lt;=2100),DATE('Assumptions'!D7,8,1),"n.a."),"n.a.")</x:f>
        <x:v>46600</x:v>
      </x:c>
      <x:c r="O9" s="46" t="n">
        <x:f>IF(ISNUMBER('Assumptions'!D7),IF(AND('Assumptions'!D7=INT('Assumptions'!D7),'Assumptions'!D7&gt;=2000,'Assumptions'!D7&lt;=2100),DATE('Assumptions'!D7,9,1),"n.a."),"n.a.")</x:f>
        <x:v>46631</x:v>
      </x:c>
      <x:c r="P9" s="46" t="n">
        <x:f>IF(ISNUMBER('Assumptions'!D7),IF(AND('Assumptions'!D7=INT('Assumptions'!D7),'Assumptions'!D7&gt;=2000,'Assumptions'!D7&lt;=2100),DATE('Assumptions'!D7,10,1),"n.a."),"n.a.")</x:f>
        <x:v>46661</x:v>
      </x:c>
      <x:c r="Q9" s="46" t="n">
        <x:f>IF(ISNUMBER('Assumptions'!D7),IF(AND('Assumptions'!D7=INT('Assumptions'!D7),'Assumptions'!D7&gt;=2000,'Assumptions'!D7&lt;=2100),DATE('Assumptions'!D7,11,1),"n.a."),"n.a.")</x:f>
        <x:v>46692</x:v>
      </x:c>
      <x:c r="R9" s="46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Hard construction</x:v>
      </x:c>
      <x:c r="D10" s="2" t="str">
        <x:v>USD</x:v>
      </x:c>
      <x:c r="E10" s="49" t="n">
        <x:f>IF(COUNT(G10:R10)=12,SUM(G10:R10),"n.a.")</x:f>
        <x:v>8000000</x:v>
      </x:c>
      <x:c r="F10" s="2"/>
      <x:c r="G10" s="48" t="n">
        <x:f>IF(AND('Project Plan'!N10="OK"),IF(AND(ISNUMBER('Project Plan'!$D$10),ISNUMBER('Assumptions'!$D$61)),'Project Plan'!$D$10*'Assumptions'!$D$61,"n.a."),"n.a.")</x:f>
        <x:v>200000</x:v>
      </x:c>
      <x:c r="H10" s="48" t="n">
        <x:f>IF(AND('Project Plan'!N11="OK"),IF(AND(ISNUMBER('Project Plan'!$D$11),ISNUMBER('Assumptions'!$D$61)),'Project Plan'!$D$11*'Assumptions'!$D$61,"n.a."),"n.a.")</x:f>
        <x:v>400000</x:v>
      </x:c>
      <x:c r="I10" s="48" t="n">
        <x:f>IF(AND('Project Plan'!N12="OK"),IF(AND(ISNUMBER('Project Plan'!$D$12),ISNUMBER('Assumptions'!$D$61)),'Project Plan'!$D$12*'Assumptions'!$D$61,"n.a."),"n.a.")</x:f>
        <x:v>700000</x:v>
      </x:c>
      <x:c r="J10" s="48" t="n">
        <x:f>IF(AND('Project Plan'!N13="OK"),IF(AND(ISNUMBER('Project Plan'!$D$13),ISNUMBER('Assumptions'!$D$61)),'Project Plan'!$D$13*'Assumptions'!$D$61,"n.a."),"n.a.")</x:f>
        <x:v>1000000</x:v>
      </x:c>
      <x:c r="K10" s="48" t="n">
        <x:f>IF(AND('Project Plan'!N14="OK"),IF(AND(ISNUMBER('Project Plan'!$D$14),ISNUMBER('Assumptions'!$D$61)),'Project Plan'!$D$14*'Assumptions'!$D$61,"n.a."),"n.a.")</x:f>
        <x:v>1100000</x:v>
      </x:c>
      <x:c r="L10" s="48" t="n">
        <x:f>IF(AND('Project Plan'!N15="OK"),IF(AND(ISNUMBER('Project Plan'!$D$15),ISNUMBER('Assumptions'!$D$61)),'Project Plan'!$D$15*'Assumptions'!$D$61,"n.a."),"n.a.")</x:f>
        <x:v>1100000</x:v>
      </x:c>
      <x:c r="M10" s="48" t="n">
        <x:f>IF(AND('Project Plan'!N16="OK"),IF(AND(ISNUMBER('Project Plan'!$D$16),ISNUMBER('Assumptions'!$D$61)),'Project Plan'!$D$16*'Assumptions'!$D$61,"n.a."),"n.a.")</x:f>
        <x:v>1000000</x:v>
      </x:c>
      <x:c r="N10" s="48" t="n">
        <x:f>IF(AND('Project Plan'!N17="OK"),IF(AND(ISNUMBER('Project Plan'!$D$17),ISNUMBER('Assumptions'!$D$61)),'Project Plan'!$D$17*'Assumptions'!$D$61,"n.a."),"n.a.")</x:f>
        <x:v>900000</x:v>
      </x:c>
      <x:c r="O10" s="48" t="n">
        <x:f>IF(AND('Project Plan'!N18="OK"),IF(AND(ISNUMBER('Project Plan'!$D$18),ISNUMBER('Assumptions'!$D$61)),'Project Plan'!$D$18*'Assumptions'!$D$61,"n.a."),"n.a.")</x:f>
        <x:v>700000</x:v>
      </x:c>
      <x:c r="P10" s="48" t="n">
        <x:f>IF(AND('Project Plan'!N19="OK"),IF(AND(ISNUMBER('Project Plan'!$D$19),ISNUMBER('Assumptions'!$D$61)),'Project Plan'!$D$19*'Assumptions'!$D$61,"n.a."),"n.a.")</x:f>
        <x:v>500000</x:v>
      </x:c>
      <x:c r="Q10" s="48" t="n">
        <x:f>IF(AND('Project Plan'!N20="OK"),IF(AND(ISNUMBER('Project Plan'!$D$20),ISNUMBER('Assumptions'!$D$61)),'Project Plan'!$D$20*'Assumptions'!$D$61,"n.a."),"n.a.")</x:f>
        <x:v>300000</x:v>
      </x:c>
      <x:c r="R10" s="48" t="n">
        <x:f>IF(AND('Project Plan'!N21="OK"),IF(AND(ISNUMBER('Project Plan'!$D$21),ISNUMBER('Assumptions'!$D$61)),'Project Plan'!$D$21*'Assumptions'!$D$61,"n.a."),"n.a.")</x:f>
        <x:v>100000</x:v>
      </x:c>
    </x:row>
    <x:row r="11" ht="21" customHeight="1">
      <x:c r="A11" s="2"/>
      <x:c r="B11" s="2"/>
      <x:c r="C11" s="2" t="str">
        <x:v>Soft / professional</x:v>
      </x:c>
      <x:c r="D11" s="2" t="str">
        <x:v>USD</x:v>
      </x:c>
      <x:c r="E11" s="49" t="n">
        <x:f>IF(COUNT(G11:R11)=12,SUM(G11:R11),"n.a.")</x:f>
        <x:v>1080000</x:v>
      </x:c>
      <x:c r="F11" s="2"/>
      <x:c r="G11" s="48" t="n">
        <x:f>IF(AND('Project Plan'!N10="OK"),IF(AND(ISNUMBER('Project Plan'!$E$10),ISNUMBER('Assumptions'!$D$58)),'Project Plan'!$E$10*'Assumptions'!$D$58,"n.a."),"n.a.")</x:f>
        <x:v>90000</x:v>
      </x:c>
      <x:c r="H11" s="48" t="n">
        <x:f>IF(AND('Project Plan'!N11="OK"),IF(AND(ISNUMBER('Project Plan'!$E$11),ISNUMBER('Assumptions'!$D$58)),'Project Plan'!$E$11*'Assumptions'!$D$58,"n.a."),"n.a.")</x:f>
        <x:v>90000</x:v>
      </x:c>
      <x:c r="I11" s="48" t="n">
        <x:f>IF(AND('Project Plan'!N12="OK"),IF(AND(ISNUMBER('Project Plan'!$E$12),ISNUMBER('Assumptions'!$D$58)),'Project Plan'!$E$12*'Assumptions'!$D$58,"n.a."),"n.a.")</x:f>
        <x:v>90000</x:v>
      </x:c>
      <x:c r="J11" s="48" t="n">
        <x:f>IF(AND('Project Plan'!N13="OK"),IF(AND(ISNUMBER('Project Plan'!$E$13),ISNUMBER('Assumptions'!$D$58)),'Project Plan'!$E$13*'Assumptions'!$D$58,"n.a."),"n.a.")</x:f>
        <x:v>90000</x:v>
      </x:c>
      <x:c r="K11" s="48" t="n">
        <x:f>IF(AND('Project Plan'!N14="OK"),IF(AND(ISNUMBER('Project Plan'!$E$14),ISNUMBER('Assumptions'!$D$58)),'Project Plan'!$E$14*'Assumptions'!$D$58,"n.a."),"n.a.")</x:f>
        <x:v>90000</x:v>
      </x:c>
      <x:c r="L11" s="48" t="n">
        <x:f>IF(AND('Project Plan'!N15="OK"),IF(AND(ISNUMBER('Project Plan'!$E$15),ISNUMBER('Assumptions'!$D$58)),'Project Plan'!$E$15*'Assumptions'!$D$58,"n.a."),"n.a.")</x:f>
        <x:v>90000</x:v>
      </x:c>
      <x:c r="M11" s="48" t="n">
        <x:f>IF(AND('Project Plan'!N16="OK"),IF(AND(ISNUMBER('Project Plan'!$E$16),ISNUMBER('Assumptions'!$D$58)),'Project Plan'!$E$16*'Assumptions'!$D$58,"n.a."),"n.a.")</x:f>
        <x:v>90000</x:v>
      </x:c>
      <x:c r="N11" s="48" t="n">
        <x:f>IF(AND('Project Plan'!N17="OK"),IF(AND(ISNUMBER('Project Plan'!$E$17),ISNUMBER('Assumptions'!$D$58)),'Project Plan'!$E$17*'Assumptions'!$D$58,"n.a."),"n.a.")</x:f>
        <x:v>90000</x:v>
      </x:c>
      <x:c r="O11" s="48" t="n">
        <x:f>IF(AND('Project Plan'!N18="OK"),IF(AND(ISNUMBER('Project Plan'!$E$18),ISNUMBER('Assumptions'!$D$58)),'Project Plan'!$E$18*'Assumptions'!$D$58,"n.a."),"n.a.")</x:f>
        <x:v>90000</x:v>
      </x:c>
      <x:c r="P11" s="48" t="n">
        <x:f>IF(AND('Project Plan'!N19="OK"),IF(AND(ISNUMBER('Project Plan'!$E$19),ISNUMBER('Assumptions'!$D$58)),'Project Plan'!$E$19*'Assumptions'!$D$58,"n.a."),"n.a.")</x:f>
        <x:v>90000</x:v>
      </x:c>
      <x:c r="Q11" s="48" t="n">
        <x:f>IF(AND('Project Plan'!N20="OK"),IF(AND(ISNUMBER('Project Plan'!$E$20),ISNUMBER('Assumptions'!$D$58)),'Project Plan'!$E$20*'Assumptions'!$D$58,"n.a."),"n.a.")</x:f>
        <x:v>90000</x:v>
      </x:c>
      <x:c r="R11" s="48" t="n">
        <x:f>IF(AND('Project Plan'!N21="OK"),IF(AND(ISNUMBER('Project Plan'!$E$21),ISNUMBER('Assumptions'!$D$58)),'Project Plan'!$E$21*'Assumptions'!$D$58,"n.a."),"n.a.")</x:f>
        <x:v>90000</x:v>
      </x:c>
    </x:row>
    <x:row r="12" ht="21" customHeight="1">
      <x:c r="A12" s="2"/>
      <x:c r="B12" s="2"/>
      <x:c r="C12" s="2" t="str">
        <x:v>Contingency use and leasing capital</x:v>
      </x:c>
      <x:c r="D12" s="2" t="str">
        <x:v>USD</x:v>
      </x:c>
      <x:c r="E12" s="49" t="n">
        <x:f>IF(COUNT(G12:R12)=12,SUM(G12:R12),"n.a.")</x:f>
        <x:v>650000</x:v>
      </x:c>
      <x:c r="F12" s="2"/>
      <x:c r="G12" s="48" t="n">
        <x:f>IF(AND('Project Plan'!N10="OK"),IF(AND(ISNUMBER('Project Plan'!$F$10),ISNUMBER('Project Plan'!$G$10),ISNUMBER('Assumptions'!$D$61)),('Project Plan'!$F$10+'Project Plan'!$G$10)*'Assumptions'!$D$61,"n.a."),"n.a.")</x:f>
        <x:v>0</x:v>
      </x:c>
      <x:c r="H12" s="48" t="n">
        <x:f>IF(AND('Project Plan'!N11="OK"),IF(AND(ISNUMBER('Project Plan'!$F$11),ISNUMBER('Project Plan'!$G$11),ISNUMBER('Assumptions'!$D$61)),('Project Plan'!$F$11+'Project Plan'!$G$11)*'Assumptions'!$D$61,"n.a."),"n.a.")</x:f>
        <x:v>0</x:v>
      </x:c>
      <x:c r="I12" s="48" t="n">
        <x:f>IF(AND('Project Plan'!N12="OK"),IF(AND(ISNUMBER('Project Plan'!$F$12),ISNUMBER('Project Plan'!$G$12),ISNUMBER('Assumptions'!$D$61)),('Project Plan'!$F$12+'Project Plan'!$G$12)*'Assumptions'!$D$61,"n.a."),"n.a.")</x:f>
        <x:v>0</x:v>
      </x:c>
      <x:c r="J12" s="48" t="n">
        <x:f>IF(AND('Project Plan'!N13="OK"),IF(AND(ISNUMBER('Project Plan'!$F$13),ISNUMBER('Project Plan'!$G$13),ISNUMBER('Assumptions'!$D$61)),('Project Plan'!$F$13+'Project Plan'!$G$13)*'Assumptions'!$D$61,"n.a."),"n.a.")</x:f>
        <x:v>0</x:v>
      </x:c>
      <x:c r="K12" s="48" t="n">
        <x:f>IF(AND('Project Plan'!N14="OK"),IF(AND(ISNUMBER('Project Plan'!$F$14),ISNUMBER('Project Plan'!$G$14),ISNUMBER('Assumptions'!$D$61)),('Project Plan'!$F$14+'Project Plan'!$G$14)*'Assumptions'!$D$61,"n.a."),"n.a.")</x:f>
        <x:v>0</x:v>
      </x:c>
      <x:c r="L12" s="48" t="n">
        <x:f>IF(AND('Project Plan'!N15="OK"),IF(AND(ISNUMBER('Project Plan'!$F$15),ISNUMBER('Project Plan'!$G$15),ISNUMBER('Assumptions'!$D$61)),('Project Plan'!$F$15+'Project Plan'!$G$15)*'Assumptions'!$D$61,"n.a."),"n.a.")</x:f>
        <x:v>0</x:v>
      </x:c>
      <x:c r="M12" s="48" t="n">
        <x:f>IF(AND('Project Plan'!N16="OK"),IF(AND(ISNUMBER('Project Plan'!$F$16),ISNUMBER('Project Plan'!$G$16),ISNUMBER('Assumptions'!$D$61)),('Project Plan'!$F$16+'Project Plan'!$G$16)*'Assumptions'!$D$61,"n.a."),"n.a.")</x:f>
        <x:v>0</x:v>
      </x:c>
      <x:c r="N12" s="48" t="n">
        <x:f>IF(AND('Project Plan'!N17="OK"),IF(AND(ISNUMBER('Project Plan'!$F$17),ISNUMBER('Project Plan'!$G$17),ISNUMBER('Assumptions'!$D$61)),('Project Plan'!$F$17+'Project Plan'!$G$17)*'Assumptions'!$D$61,"n.a."),"n.a.")</x:f>
        <x:v>200000</x:v>
      </x:c>
      <x:c r="O12" s="48" t="n">
        <x:f>IF(AND('Project Plan'!N18="OK"),IF(AND(ISNUMBER('Project Plan'!$F$18),ISNUMBER('Project Plan'!$G$18),ISNUMBER('Assumptions'!$D$61)),('Project Plan'!$F$18+'Project Plan'!$G$18)*'Assumptions'!$D$61,"n.a."),"n.a.")</x:f>
        <x:v>0</x:v>
      </x:c>
      <x:c r="P12" s="48" t="n">
        <x:f>IF(AND('Project Plan'!N19="OK"),IF(AND(ISNUMBER('Project Plan'!$F$19),ISNUMBER('Project Plan'!$G$19),ISNUMBER('Assumptions'!$D$61)),('Project Plan'!$F$19+'Project Plan'!$G$19)*'Assumptions'!$D$61,"n.a."),"n.a.")</x:f>
        <x:v>150000</x:v>
      </x:c>
      <x:c r="Q12" s="48" t="n">
        <x:f>IF(AND('Project Plan'!N20="OK"),IF(AND(ISNUMBER('Project Plan'!$F$20),ISNUMBER('Project Plan'!$G$20),ISNUMBER('Assumptions'!$D$61)),('Project Plan'!$F$20+'Project Plan'!$G$20)*'Assumptions'!$D$61,"n.a."),"n.a.")</x:f>
        <x:v>150000</x:v>
      </x:c>
      <x:c r="R12" s="48" t="n">
        <x:f>IF(AND('Project Plan'!N21="OK"),IF(AND(ISNUMBER('Project Plan'!$F$21),ISNUMBER('Project Plan'!$G$21),ISNUMBER('Assumptions'!$D$61)),('Project Plan'!$F$21+'Project Plan'!$G$21)*'Assumptions'!$D$61,"n.a."),"n.a.")</x:f>
        <x:v>150000</x:v>
      </x:c>
    </x:row>
    <x:row r="13" ht="21" customHeight="1">
      <x:c r="A13" s="2"/>
      <x:c r="B13" s="2"/>
      <x:c r="C13" s="54" t="str">
        <x:v>Operating collections during work</x:v>
      </x:c>
      <x:c r="D13" s="54" t="str">
        <x:v>USD</x:v>
      </x:c>
      <x:c r="E13" s="55" t="n">
        <x:f>IF(COUNT(G13:R13)=12,SUM(G13:R13),"n.a.")</x:f>
        <x:v>240000</x:v>
      </x:c>
      <x:c r="F13" s="54"/>
      <x:c r="G13" s="56" t="n">
        <x:f>IF(AND('Project Plan'!N10="OK"),IF(AND(ISNUMBER('Project Plan'!$H$10),ISNUMBER('Assumptions'!$D$52),ISNUMBER('Assumptions'!$D$55)),'Project Plan'!$H$10*'Assumptions'!$D$52*'Assumptions'!$D$55,"n.a."),"n.a.")</x:f>
        <x:v>0</x:v>
      </x:c>
      <x:c r="H13" s="56" t="n">
        <x:f>IF(AND('Project Plan'!N11="OK"),IF(AND(ISNUMBER('Project Plan'!$H$11),ISNUMBER('Assumptions'!$D$52),ISNUMBER('Assumptions'!$D$55)),'Project Plan'!$H$11*'Assumptions'!$D$52*'Assumptions'!$D$55,"n.a."),"n.a.")</x:f>
        <x:v>0</x:v>
      </x:c>
      <x:c r="I13" s="56" t="n">
        <x:f>IF(AND('Project Plan'!N12="OK"),IF(AND(ISNUMBER('Project Plan'!$H$12),ISNUMBER('Assumptions'!$D$52),ISNUMBER('Assumptions'!$D$55)),'Project Plan'!$H$12*'Assumptions'!$D$52*'Assumptions'!$D$55,"n.a."),"n.a.")</x:f>
        <x:v>0</x:v>
      </x:c>
      <x:c r="J13" s="56" t="n">
        <x:f>IF(AND('Project Plan'!N13="OK"),IF(AND(ISNUMBER('Project Plan'!$H$13),ISNUMBER('Assumptions'!$D$52),ISNUMBER('Assumptions'!$D$55)),'Project Plan'!$H$13*'Assumptions'!$D$52*'Assumptions'!$D$55,"n.a."),"n.a.")</x:f>
        <x:v>0</x:v>
      </x:c>
      <x:c r="K13" s="56" t="n">
        <x:f>IF(AND('Project Plan'!N14="OK"),IF(AND(ISNUMBER('Project Plan'!$H$14),ISNUMBER('Assumptions'!$D$52),ISNUMBER('Assumptions'!$D$55)),'Project Plan'!$H$14*'Assumptions'!$D$52*'Assumptions'!$D$55,"n.a."),"n.a.")</x:f>
        <x:v>0</x:v>
      </x:c>
      <x:c r="L13" s="56" t="n">
        <x:f>IF(AND('Project Plan'!N15="OK"),IF(AND(ISNUMBER('Project Plan'!$H$15),ISNUMBER('Assumptions'!$D$52),ISNUMBER('Assumptions'!$D$55)),'Project Plan'!$H$15*'Assumptions'!$D$52*'Assumptions'!$D$55,"n.a."),"n.a.")</x:f>
        <x:v>0</x:v>
      </x:c>
      <x:c r="M13" s="56" t="n">
        <x:f>IF(AND('Project Plan'!N16="OK"),IF(AND(ISNUMBER('Project Plan'!$H$16),ISNUMBER('Assumptions'!$D$52),ISNUMBER('Assumptions'!$D$55)),'Project Plan'!$H$16*'Assumptions'!$D$52*'Assumptions'!$D$55,"n.a."),"n.a.")</x:f>
        <x:v>0</x:v>
      </x:c>
      <x:c r="N13" s="56" t="n">
        <x:f>IF(AND('Project Plan'!N17="OK"),IF(AND(ISNUMBER('Project Plan'!$H$17),ISNUMBER('Assumptions'!$D$52),ISNUMBER('Assumptions'!$D$55)),'Project Plan'!$H$17*'Assumptions'!$D$52*'Assumptions'!$D$55,"n.a."),"n.a.")</x:f>
        <x:v>0</x:v>
      </x:c>
      <x:c r="O13" s="56" t="n">
        <x:f>IF(AND('Project Plan'!N18="OK"),IF(AND(ISNUMBER('Project Plan'!$H$18),ISNUMBER('Assumptions'!$D$52),ISNUMBER('Assumptions'!$D$55)),'Project Plan'!$H$18*'Assumptions'!$D$52*'Assumptions'!$D$55,"n.a."),"n.a.")</x:f>
        <x:v>0</x:v>
      </x:c>
      <x:c r="P13" s="56" t="n">
        <x:f>IF(AND('Project Plan'!N19="OK"),IF(AND(ISNUMBER('Project Plan'!$H$19),ISNUMBER('Assumptions'!$D$52),ISNUMBER('Assumptions'!$D$55)),'Project Plan'!$H$19*'Assumptions'!$D$52*'Assumptions'!$D$55,"n.a."),"n.a.")</x:f>
        <x:v>40000</x:v>
      </x:c>
      <x:c r="Q13" s="56" t="n">
        <x:f>IF(AND('Project Plan'!N20="OK"),IF(AND(ISNUMBER('Project Plan'!$H$20),ISNUMBER('Assumptions'!$D$52),ISNUMBER('Assumptions'!$D$55)),'Project Plan'!$H$20*'Assumptions'!$D$52*'Assumptions'!$D$55,"n.a."),"n.a.")</x:f>
        <x:v>80000</x:v>
      </x:c>
      <x:c r="R13" s="56" t="n">
        <x:f>IF(AND('Project Plan'!N21="OK"),IF(AND(ISNUMBER('Project Plan'!$H$21),ISNUMBER('Assumptions'!$D$52),ISNUMBER('Assumptions'!$D$55)),'Project Plan'!$H$21*'Assumptions'!$D$52*'Assumptions'!$D$55,"n.a."),"n.a.")</x:f>
        <x:v>120000</x:v>
      </x:c>
    </x:row>
    <x:row r="14" ht="21" customHeight="1">
      <x:c r="A14" s="2"/>
      <x:c r="B14" s="2"/>
      <x:c r="C14" s="2" t="str">
        <x:v>Operating expenses during work</x:v>
      </x:c>
      <x:c r="D14" s="2" t="str">
        <x:v>USD</x:v>
      </x:c>
      <x:c r="E14" s="49" t="n">
        <x:f>IF(COUNT(G14:R14)=12,SUM(G14:R14),"n.a.")</x:f>
        <x:v>75000</x:v>
      </x:c>
      <x:c r="F14" s="2"/>
      <x:c r="G14" s="48" t="n">
        <x:f>IF(AND('Project Plan'!N10="OK"),IF(AND(ISNUMBER('Project Plan'!$I$10),ISNUMBER('Assumptions'!$D$58)),'Project Plan'!$I$10*'Assumptions'!$D$58,"n.a."),"n.a.")</x:f>
        <x:v>0</x:v>
      </x:c>
      <x:c r="H14" s="48" t="n">
        <x:f>IF(AND('Project Plan'!N11="OK"),IF(AND(ISNUMBER('Project Plan'!$I$11),ISNUMBER('Assumptions'!$D$58)),'Project Plan'!$I$11*'Assumptions'!$D$58,"n.a."),"n.a.")</x:f>
        <x:v>0</x:v>
      </x:c>
      <x:c r="I14" s="48" t="n">
        <x:f>IF(AND('Project Plan'!N12="OK"),IF(AND(ISNUMBER('Project Plan'!$I$12),ISNUMBER('Assumptions'!$D$58)),'Project Plan'!$I$12*'Assumptions'!$D$58,"n.a."),"n.a.")</x:f>
        <x:v>0</x:v>
      </x:c>
      <x:c r="J14" s="48" t="n">
        <x:f>IF(AND('Project Plan'!N13="OK"),IF(AND(ISNUMBER('Project Plan'!$I$13),ISNUMBER('Assumptions'!$D$58)),'Project Plan'!$I$13*'Assumptions'!$D$58,"n.a."),"n.a.")</x:f>
        <x:v>0</x:v>
      </x:c>
      <x:c r="K14" s="48" t="n">
        <x:f>IF(AND('Project Plan'!N14="OK"),IF(AND(ISNUMBER('Project Plan'!$I$14),ISNUMBER('Assumptions'!$D$58)),'Project Plan'!$I$14*'Assumptions'!$D$58,"n.a."),"n.a.")</x:f>
        <x:v>0</x:v>
      </x:c>
      <x:c r="L14" s="48" t="n">
        <x:f>IF(AND('Project Plan'!N15="OK"),IF(AND(ISNUMBER('Project Plan'!$I$15),ISNUMBER('Assumptions'!$D$58)),'Project Plan'!$I$15*'Assumptions'!$D$58,"n.a."),"n.a.")</x:f>
        <x:v>0</x:v>
      </x:c>
      <x:c r="M14" s="48" t="n">
        <x:f>IF(AND('Project Plan'!N16="OK"),IF(AND(ISNUMBER('Project Plan'!$I$16),ISNUMBER('Assumptions'!$D$58)),'Project Plan'!$I$16*'Assumptions'!$D$58,"n.a."),"n.a.")</x:f>
        <x:v>0</x:v>
      </x:c>
      <x:c r="N14" s="48" t="n">
        <x:f>IF(AND('Project Plan'!N17="OK"),IF(AND(ISNUMBER('Project Plan'!$I$17),ISNUMBER('Assumptions'!$D$58)),'Project Plan'!$I$17*'Assumptions'!$D$58,"n.a."),"n.a.")</x:f>
        <x:v>0</x:v>
      </x:c>
      <x:c r="O14" s="48" t="n">
        <x:f>IF(AND('Project Plan'!N18="OK"),IF(AND(ISNUMBER('Project Plan'!$I$18),ISNUMBER('Assumptions'!$D$58)),'Project Plan'!$I$18*'Assumptions'!$D$58,"n.a."),"n.a.")</x:f>
        <x:v>0</x:v>
      </x:c>
      <x:c r="P14" s="48" t="n">
        <x:f>IF(AND('Project Plan'!N19="OK"),IF(AND(ISNUMBER('Project Plan'!$I$19),ISNUMBER('Assumptions'!$D$58)),'Project Plan'!$I$19*'Assumptions'!$D$58,"n.a."),"n.a.")</x:f>
        <x:v>25000</x:v>
      </x:c>
      <x:c r="Q14" s="48" t="n">
        <x:f>IF(AND('Project Plan'!N20="OK"),IF(AND(ISNUMBER('Project Plan'!$I$20),ISNUMBER('Assumptions'!$D$58)),'Project Plan'!$I$20*'Assumptions'!$D$58,"n.a."),"n.a.")</x:f>
        <x:v>25000</x:v>
      </x:c>
      <x:c r="R14" s="48" t="n">
        <x:f>IF(AND('Project Plan'!N21="OK"),IF(AND(ISNUMBER('Project Plan'!$I$21),ISNUMBER('Assumptions'!$D$58)),'Project Plan'!$I$21*'Assumptions'!$D$58,"n.a."),"n.a.")</x:f>
        <x:v>25000</x:v>
      </x:c>
    </x:row>
    <x:row r="15" ht="21" customHeight="1">
      <x:c r="A15" s="2"/>
      <x:c r="B15" s="2"/>
      <x:c r="C15" s="54" t="str">
        <x:v>Monthly construction and leasing use</x:v>
      </x:c>
      <x:c r="D15" s="54" t="str">
        <x:v>USD</x:v>
      </x:c>
      <x:c r="E15" s="55" t="n">
        <x:f>IF(COUNT(G15:R15)=12,SUM(G15:R15),"n.a.")</x:f>
        <x:v>9730000</x:v>
      </x:c>
      <x:c r="F15" s="54"/>
      <x:c r="G15" s="55" t="n">
        <x:f>IF(AND(ISNUMBER(G10),ISNUMBER(G11),ISNUMBER(G12)),SUM(G10,G11,G12),"n.a.")</x:f>
        <x:v>290000</x:v>
      </x:c>
      <x:c r="H15" s="55" t="n">
        <x:f>IF(AND(ISNUMBER(H10),ISNUMBER(H11),ISNUMBER(H12)),SUM(H10,H11,H12),"n.a.")</x:f>
        <x:v>490000</x:v>
      </x:c>
      <x:c r="I15" s="55" t="n">
        <x:f>IF(AND(ISNUMBER(I10),ISNUMBER(I11),ISNUMBER(I12)),SUM(I10,I11,I12),"n.a.")</x:f>
        <x:v>790000</x:v>
      </x:c>
      <x:c r="J15" s="55" t="n">
        <x:f>IF(AND(ISNUMBER(J10),ISNUMBER(J11),ISNUMBER(J12)),SUM(J10,J11,J12),"n.a.")</x:f>
        <x:v>1090000</x:v>
      </x:c>
      <x:c r="K15" s="55" t="n">
        <x:f>IF(AND(ISNUMBER(K10),ISNUMBER(K11),ISNUMBER(K12)),SUM(K10,K11,K12),"n.a.")</x:f>
        <x:v>1190000</x:v>
      </x:c>
      <x:c r="L15" s="55" t="n">
        <x:f>IF(AND(ISNUMBER(L10),ISNUMBER(L11),ISNUMBER(L12)),SUM(L10,L11,L12),"n.a.")</x:f>
        <x:v>1190000</x:v>
      </x:c>
      <x:c r="M15" s="55" t="n">
        <x:f>IF(AND(ISNUMBER(M10),ISNUMBER(M11),ISNUMBER(M12)),SUM(M10,M11,M12),"n.a.")</x:f>
        <x:v>1090000</x:v>
      </x:c>
      <x:c r="N15" s="55" t="n">
        <x:f>IF(AND(ISNUMBER(N10),ISNUMBER(N11),ISNUMBER(N12)),SUM(N10,N11,N12),"n.a.")</x:f>
        <x:v>1190000</x:v>
      </x:c>
      <x:c r="O15" s="55" t="n">
        <x:f>IF(AND(ISNUMBER(O10),ISNUMBER(O11),ISNUMBER(O12)),SUM(O10,O11,O12),"n.a.")</x:f>
        <x:v>790000</x:v>
      </x:c>
      <x:c r="P15" s="55" t="n">
        <x:f>IF(AND(ISNUMBER(P10),ISNUMBER(P11),ISNUMBER(P12)),SUM(P10,P11,P12),"n.a.")</x:f>
        <x:v>740000</x:v>
      </x:c>
      <x:c r="Q15" s="55" t="n">
        <x:f>IF(AND(ISNUMBER(Q10),ISNUMBER(Q11),ISNUMBER(Q12)),SUM(Q10,Q11,Q12),"n.a.")</x:f>
        <x:v>540000</x:v>
      </x:c>
      <x:c r="R15" s="55" t="n">
        <x:f>IF(AND(ISNUMBER(R10),ISNUMBER(R11),ISNUMBER(R12)),SUM(R10,R11,R12),"n.a.")</x:f>
        <x:v>340000</x:v>
      </x:c>
    </x:row>
    <x:row r="16" ht="21" customHeight="1">
      <x:c r="A16" s="2"/>
      <x:c r="B16" s="2"/>
      <x:c r="C16" s="2" t="str">
        <x:v>Fixed property / entity costs</x:v>
      </x:c>
      <x:c r="D16" s="2" t="str">
        <x:v>USD</x:v>
      </x:c>
      <x:c r="E16" s="49" t="n">
        <x:f>IF(COUNT(G16:R16)=12,SUM(G16:R16),"n.a.")</x:f>
        <x:v>0</x:v>
      </x:c>
      <x:c r="F16" s="2"/>
      <x:c r="G16" s="48" t="n">
        <x:f>IF(AND(ISNUMBER('Assumptions'!$D$46)),'Assumptions'!$D$46/12,"n.a.")</x:f>
        <x:v>0</x:v>
      </x:c>
      <x:c r="H16" s="48" t="n">
        <x:f>IF(AND(ISNUMBER('Assumptions'!$D$46)),'Assumptions'!$D$46/12,"n.a.")</x:f>
        <x:v>0</x:v>
      </x:c>
      <x:c r="I16" s="48" t="n">
        <x:f>IF(AND(ISNUMBER('Assumptions'!$D$46)),'Assumptions'!$D$46/12,"n.a.")</x:f>
        <x:v>0</x:v>
      </x:c>
      <x:c r="J16" s="48" t="n">
        <x:f>IF(AND(ISNUMBER('Assumptions'!$D$46)),'Assumptions'!$D$46/12,"n.a.")</x:f>
        <x:v>0</x:v>
      </x:c>
      <x:c r="K16" s="48" t="n">
        <x:f>IF(AND(ISNUMBER('Assumptions'!$D$46)),'Assumptions'!$D$46/12,"n.a.")</x:f>
        <x:v>0</x:v>
      </x:c>
      <x:c r="L16" s="48" t="n">
        <x:f>IF(AND(ISNUMBER('Assumptions'!$D$46)),'Assumptions'!$D$46/12,"n.a.")</x:f>
        <x:v>0</x:v>
      </x:c>
      <x:c r="M16" s="48" t="n">
        <x:f>IF(AND(ISNUMBER('Assumptions'!$D$46)),'Assumptions'!$D$46/12,"n.a.")</x:f>
        <x:v>0</x:v>
      </x:c>
      <x:c r="N16" s="48" t="n">
        <x:f>IF(AND(ISNUMBER('Assumptions'!$D$46)),'Assumptions'!$D$46/12,"n.a.")</x:f>
        <x:v>0</x:v>
      </x:c>
      <x:c r="O16" s="48" t="n">
        <x:f>IF(AND(ISNUMBER('Assumptions'!$D$46)),'Assumptions'!$D$46/12,"n.a.")</x:f>
        <x:v>0</x:v>
      </x:c>
      <x:c r="P16" s="48" t="n">
        <x:f>IF(AND(ISNUMBER('Assumptions'!$D$46)),'Assumptions'!$D$46/12,"n.a.")</x:f>
        <x:v>0</x:v>
      </x:c>
      <x:c r="Q16" s="48" t="n">
        <x:f>IF(AND(ISNUMBER('Assumptions'!$D$46)),'Assumptions'!$D$46/12,"n.a.")</x:f>
        <x:v>0</x:v>
      </x:c>
      <x:c r="R16" s="48" t="n">
        <x:f>IF(AND(ISNUMBER('Assumptions'!$D$46)),'Assumptions'!$D$46/12,"n.a.")</x:f>
        <x:v>0</x:v>
      </x:c>
    </x:row>
    <x:row r="17" ht="21" customHeight="1">
      <x:c r="A17" s="2"/>
      <x:c r="B17" s="2"/>
      <x:c r="C17" s="54" t="str">
        <x:v>Total cash operating costs</x:v>
      </x:c>
      <x:c r="D17" s="54" t="str">
        <x:v>USD</x:v>
      </x:c>
      <x:c r="E17" s="55" t="n">
        <x:f>IF(COUNT(G17:R17)=12,SUM(G17:R17),"n.a.")</x:f>
        <x:v>75000</x:v>
      </x:c>
      <x:c r="F17" s="54"/>
      <x:c r="G17" s="55" t="n">
        <x:f>IF(AND(ISNUMBER(G14),ISNUMBER(G16)),G14+G16,"n.a.")</x:f>
        <x:v>0</x:v>
      </x:c>
      <x:c r="H17" s="55" t="n">
        <x:f>IF(AND(ISNUMBER(H14),ISNUMBER(H16)),H14+H16,"n.a.")</x:f>
        <x:v>0</x:v>
      </x:c>
      <x:c r="I17" s="55" t="n">
        <x:f>IF(AND(ISNUMBER(I14),ISNUMBER(I16)),I14+I16,"n.a.")</x:f>
        <x:v>0</x:v>
      </x:c>
      <x:c r="J17" s="55" t="n">
        <x:f>IF(AND(ISNUMBER(J14),ISNUMBER(J16)),J14+J16,"n.a.")</x:f>
        <x:v>0</x:v>
      </x:c>
      <x:c r="K17" s="55" t="n">
        <x:f>IF(AND(ISNUMBER(K14),ISNUMBER(K16)),K14+K16,"n.a.")</x:f>
        <x:v>0</x:v>
      </x:c>
      <x:c r="L17" s="55" t="n">
        <x:f>IF(AND(ISNUMBER(L14),ISNUMBER(L16)),L14+L16,"n.a.")</x:f>
        <x:v>0</x:v>
      </x:c>
      <x:c r="M17" s="55" t="n">
        <x:f>IF(AND(ISNUMBER(M14),ISNUMBER(M16)),M14+M16,"n.a.")</x:f>
        <x:v>0</x:v>
      </x:c>
      <x:c r="N17" s="55" t="n">
        <x:f>IF(AND(ISNUMBER(N14),ISNUMBER(N16)),N14+N16,"n.a.")</x:f>
        <x:v>0</x:v>
      </x:c>
      <x:c r="O17" s="55" t="n">
        <x:f>IF(AND(ISNUMBER(O14),ISNUMBER(O16)),O14+O16,"n.a.")</x:f>
        <x:v>0</x:v>
      </x:c>
      <x:c r="P17" s="55" t="n">
        <x:f>IF(AND(ISNUMBER(P14),ISNUMBER(P16)),P14+P16,"n.a.")</x:f>
        <x:v>25000</x:v>
      </x:c>
      <x:c r="Q17" s="55" t="n">
        <x:f>IF(AND(ISNUMBER(Q14),ISNUMBER(Q16)),Q14+Q16,"n.a.")</x:f>
        <x:v>25000</x:v>
      </x:c>
      <x:c r="R17" s="55" t="n">
        <x:f>IF(AND(ISNUMBER(R14),ISNUMBER(R16)),R14+R16,"n.a.")</x:f>
        <x:v>25000</x:v>
      </x:c>
    </x:row>
    <x:row r="18" ht="21" customHeight="1">
      <x:c r="A18" s="2"/>
      <x:c r="B18" s="2"/>
      <x:c r="C18" s="54" t="str">
        <x:v>NOI / operating cash before reserves</x:v>
      </x:c>
      <x:c r="D18" s="54" t="str">
        <x:v>USD</x:v>
      </x:c>
      <x:c r="E18" s="55" t="n">
        <x:f>IF(COUNT(G18:R18)=12,SUM(G18:R18),"n.a.")</x:f>
        <x:v>165000</x:v>
      </x:c>
      <x:c r="F18" s="54"/>
      <x:c r="G18" s="55" t="n">
        <x:f>IF(AND(ISNUMBER(G13),ISNUMBER(G17)),G13-G17,"n.a.")</x:f>
        <x:v>0</x:v>
      </x:c>
      <x:c r="H18" s="55" t="n">
        <x:f>IF(AND(ISNUMBER(H13),ISNUMBER(H17)),H13-H17,"n.a.")</x:f>
        <x:v>0</x:v>
      </x:c>
      <x:c r="I18" s="55" t="n">
        <x:f>IF(AND(ISNUMBER(I13),ISNUMBER(I17)),I13-I17,"n.a.")</x:f>
        <x:v>0</x:v>
      </x:c>
      <x:c r="J18" s="55" t="n">
        <x:f>IF(AND(ISNUMBER(J13),ISNUMBER(J17)),J13-J17,"n.a.")</x:f>
        <x:v>0</x:v>
      </x:c>
      <x:c r="K18" s="55" t="n">
        <x:f>IF(AND(ISNUMBER(K13),ISNUMBER(K17)),K13-K17,"n.a.")</x:f>
        <x:v>0</x:v>
      </x:c>
      <x:c r="L18" s="55" t="n">
        <x:f>IF(AND(ISNUMBER(L13),ISNUMBER(L17)),L13-L17,"n.a.")</x:f>
        <x:v>0</x:v>
      </x:c>
      <x:c r="M18" s="55" t="n">
        <x:f>IF(AND(ISNUMBER(M13),ISNUMBER(M17)),M13-M17,"n.a.")</x:f>
        <x:v>0</x:v>
      </x:c>
      <x:c r="N18" s="55" t="n">
        <x:f>IF(AND(ISNUMBER(N13),ISNUMBER(N17)),N13-N17,"n.a.")</x:f>
        <x:v>0</x:v>
      </x:c>
      <x:c r="O18" s="55" t="n">
        <x:f>IF(AND(ISNUMBER(O13),ISNUMBER(O17)),O13-O17,"n.a.")</x:f>
        <x:v>0</x:v>
      </x:c>
      <x:c r="P18" s="55" t="n">
        <x:f>IF(AND(ISNUMBER(P13),ISNUMBER(P17)),P13-P17,"n.a.")</x:f>
        <x:v>15000</x:v>
      </x:c>
      <x:c r="Q18" s="55" t="n">
        <x:f>IF(AND(ISNUMBER(Q13),ISNUMBER(Q17)),Q13-Q17,"n.a.")</x:f>
        <x:v>55000</x:v>
      </x:c>
      <x:c r="R18" s="55" t="n">
        <x:f>IF(AND(ISNUMBER(R13),ISNUMBER(R17)),R13-R17,"n.a.")</x:f>
        <x:v>95000</x:v>
      </x:c>
    </x:row>
    <x:row r="19" ht="21" customHeight="1">
      <x:c r="A19" s="2"/>
      <x:c r="B19" s="2"/>
      <x:c r="C19" s="2" t="str">
        <x:v>Cash replacement reserve deposits</x:v>
      </x:c>
      <x:c r="D19" s="2" t="str">
        <x:v>USD</x:v>
      </x:c>
      <x:c r="E19" s="49" t="n">
        <x:f>IF(COUNT(G19:R19)=12,SUM(G19:R19),"n.a.")</x:f>
        <x:v>0</x:v>
      </x:c>
      <x:c r="F19" s="2"/>
      <x:c r="G19" s="48" t="n">
        <x:f>IF(AND(ISNUMBER(G13),ISNUMBER('Assumptions'!$D$49)),MAX(0,G13)*'Assumptions'!$D$49,"n.a.")</x:f>
        <x:v>0</x:v>
      </x:c>
      <x:c r="H19" s="48" t="n">
        <x:f>IF(AND(ISNUMBER(H13),ISNUMBER('Assumptions'!$D$49)),MAX(0,H13)*'Assumptions'!$D$49,"n.a.")</x:f>
        <x:v>0</x:v>
      </x:c>
      <x:c r="I19" s="48" t="n">
        <x:f>IF(AND(ISNUMBER(I13),ISNUMBER('Assumptions'!$D$49)),MAX(0,I13)*'Assumptions'!$D$49,"n.a.")</x:f>
        <x:v>0</x:v>
      </x:c>
      <x:c r="J19" s="48" t="n">
        <x:f>IF(AND(ISNUMBER(J13),ISNUMBER('Assumptions'!$D$49)),MAX(0,J13)*'Assumptions'!$D$49,"n.a.")</x:f>
        <x:v>0</x:v>
      </x:c>
      <x:c r="K19" s="48" t="n">
        <x:f>IF(AND(ISNUMBER(K13),ISNUMBER('Assumptions'!$D$49)),MAX(0,K13)*'Assumptions'!$D$49,"n.a.")</x:f>
        <x:v>0</x:v>
      </x:c>
      <x:c r="L19" s="48" t="n">
        <x:f>IF(AND(ISNUMBER(L13),ISNUMBER('Assumptions'!$D$49)),MAX(0,L13)*'Assumptions'!$D$49,"n.a.")</x:f>
        <x:v>0</x:v>
      </x:c>
      <x:c r="M19" s="48" t="n">
        <x:f>IF(AND(ISNUMBER(M13),ISNUMBER('Assumptions'!$D$49)),MAX(0,M13)*'Assumptions'!$D$49,"n.a.")</x:f>
        <x:v>0</x:v>
      </x:c>
      <x:c r="N19" s="48" t="n">
        <x:f>IF(AND(ISNUMBER(N13),ISNUMBER('Assumptions'!$D$49)),MAX(0,N13)*'Assumptions'!$D$49,"n.a.")</x:f>
        <x:v>0</x:v>
      </x:c>
      <x:c r="O19" s="48" t="n">
        <x:f>IF(AND(ISNUMBER(O13),ISNUMBER('Assumptions'!$D$49)),MAX(0,O13)*'Assumptions'!$D$49,"n.a.")</x:f>
        <x:v>0</x:v>
      </x:c>
      <x:c r="P19" s="48" t="n">
        <x:f>IF(AND(ISNUMBER(P13),ISNUMBER('Assumptions'!$D$49)),MAX(0,P13)*'Assumptions'!$D$49,"n.a.")</x:f>
        <x:v>0</x:v>
      </x:c>
      <x:c r="Q19" s="48" t="n">
        <x:f>IF(AND(ISNUMBER(Q13),ISNUMBER('Assumptions'!$D$49)),MAX(0,Q13)*'Assumptions'!$D$49,"n.a.")</x:f>
        <x:v>0</x:v>
      </x:c>
      <x:c r="R19" s="48" t="n">
        <x:f>IF(AND(ISNUMBER(R13),ISNUMBER('Assumptions'!$D$49)),MAX(0,R13)*'Assumptions'!$D$49,"n.a.")</x:f>
        <x:v>0</x:v>
      </x:c>
    </x:row>
    <x:row r="20" ht="21" customHeight="1">
      <x:c r="A20" s="2"/>
      <x:c r="B20" s="2"/>
      <x:c r="C20" s="54" t="str">
        <x:v>Cash NCF before property debt / capital</x:v>
      </x:c>
      <x:c r="D20" s="54" t="str">
        <x:v>USD</x:v>
      </x:c>
      <x:c r="E20" s="55" t="n">
        <x:f>IF(COUNT(G20:R20)=12,SUM(G20:R20),"n.a.")</x:f>
        <x:v>165000</x:v>
      </x:c>
      <x:c r="F20" s="54"/>
      <x:c r="G20" s="55" t="n">
        <x:f>IF(AND(ISNUMBER(G18),ISNUMBER(G19)),G18-G19,"n.a.")</x:f>
        <x:v>0</x:v>
      </x:c>
      <x:c r="H20" s="55" t="n">
        <x:f>IF(AND(ISNUMBER(H18),ISNUMBER(H19)),H18-H19,"n.a.")</x:f>
        <x:v>0</x:v>
      </x:c>
      <x:c r="I20" s="55" t="n">
        <x:f>IF(AND(ISNUMBER(I18),ISNUMBER(I19)),I18-I19,"n.a.")</x:f>
        <x:v>0</x:v>
      </x:c>
      <x:c r="J20" s="55" t="n">
        <x:f>IF(AND(ISNUMBER(J18),ISNUMBER(J19)),J18-J19,"n.a.")</x:f>
        <x:v>0</x:v>
      </x:c>
      <x:c r="K20" s="55" t="n">
        <x:f>IF(AND(ISNUMBER(K18),ISNUMBER(K19)),K18-K19,"n.a.")</x:f>
        <x:v>0</x:v>
      </x:c>
      <x:c r="L20" s="55" t="n">
        <x:f>IF(AND(ISNUMBER(L18),ISNUMBER(L19)),L18-L19,"n.a.")</x:f>
        <x:v>0</x:v>
      </x:c>
      <x:c r="M20" s="55" t="n">
        <x:f>IF(AND(ISNUMBER(M18),ISNUMBER(M19)),M18-M19,"n.a.")</x:f>
        <x:v>0</x:v>
      </x:c>
      <x:c r="N20" s="55" t="n">
        <x:f>IF(AND(ISNUMBER(N18),ISNUMBER(N19)),N18-N19,"n.a.")</x:f>
        <x:v>0</x:v>
      </x:c>
      <x:c r="O20" s="55" t="n">
        <x:f>IF(AND(ISNUMBER(O18),ISNUMBER(O19)),O18-O19,"n.a.")</x:f>
        <x:v>0</x:v>
      </x:c>
      <x:c r="P20" s="55" t="n">
        <x:f>IF(AND(ISNUMBER(P18),ISNUMBER(P19)),P18-P19,"n.a.")</x:f>
        <x:v>15000</x:v>
      </x:c>
      <x:c r="Q20" s="55" t="n">
        <x:f>IF(AND(ISNUMBER(Q18),ISNUMBER(Q19)),Q18-Q19,"n.a.")</x:f>
        <x:v>55000</x:v>
      </x:c>
      <x:c r="R20" s="55" t="n">
        <x:f>IF(AND(ISNUMBER(R18),ISNUMBER(R19)),R18-R19,"n.a.")</x:f>
        <x:v>95000</x:v>
      </x:c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Construction funding and permanent exit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Accepted stabilized annual NCF</x:v>
      </x:c>
      <x:c r="D9" s="48" t="n">
        <x:f>IF(AND(ISNUMBER('Assumptions'!$D$70)),'Assumptions'!$D$70,"n.a.")</x:f>
        <x:v>1350000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58" t="n">
        <x:f>IF(AND(ISNUMBER('Assumptions'!$D$73),ISNUMBER('Assumptions'!$D$34)),IF('Assumptions'!$D$73=0,1/('Assumptions'!$D$34*12),('Assumptions'!$D$73/12)/(1-(1+'Assumptions'!$D$73/12)^(-'Assumptions'!$D$34*12))),"n.a.")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48" t="n">
        <x:f>IF(AND(ISNUMBER(D9),ISNUMBER('Assumptions'!$D$40),ISNUMBER(D10)),MAX(0,D9)/'Assumptions'!$D$40/(D10*12),"n.a.")</x:f>
        <x:v>13329242.512826668</x:v>
      </x:c>
      <x:c r="E11" s="2"/>
      <x:c r="F11" s="2"/>
      <x:c r="G11" s="2" t="str">
        <x:v>One draw each month, on the day entered in Project Plan. Actual days /365 includes the draw day.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48" t="n">
        <x:f>IF(AND(ISNUMBER('Assumptions'!$D$10),ISNUMBER('Assumptions'!$D$37)),'Assumptions'!$D$10*'Assumptions'!$D$37,"n.a.")</x:f>
        <x:v>11050000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48" t="n">
        <x:f>IF(AND(ISNUMBER(D9),ISNUMBER('Assumptions'!$D$43)),MAX(0,D9)/'Assumptions'!$D$43,"n.a.")</x:f>
        <x:v>15000000</x:v>
      </x:c>
      <x:c r="E13" s="2"/>
      <x:c r="F13" s="2"/>
      <x:c r="G13" s="2" t="str">
        <x:v>No interest capitalizes. Monthly sponsor needs include cash-paid interest and operating losses.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Permanent exit loan capacity</x:v>
      </x:c>
      <x:c r="D14" s="49" t="n">
        <x:f>IF(AND(ISNUMBER(D11),ISNUMBER(D12),ISNUMBER(D13)),MIN(D11,D12,D13),"n.a.")</x:f>
        <x:v>11050000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LTV</x:v>
      </x:c>
      <x:c r="E15" s="2"/>
      <x:c r="F15" s="2"/>
      <x:c r="G15" s="2" t="str">
        <x:v>Closing restricted reserves and minimum operating cash remain unspent; monthly sponsor contributions cover net project uses.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Acquisition, scheduled work and costs</x:v>
      </x:c>
      <x:c r="D16" s="48" t="n">
        <x:f>IF(AND(ISNUMBER('Assumptions'!$D$13),ISNUMBER('Assumptions'!$D$16),ISNUMBER('Operations'!E15)),'Assumptions'!$D$13+'Assumptions'!$D$16+'Operations'!E15,"n.a.")</x:f>
        <x:v>11880000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Construction commitment ceiling</x:v>
      </x:c>
      <x:c r="D17" s="48" t="n">
        <x:f>IF(AND(ISNUMBER('Assumptions'!$D$28),ISNUMBER('Assumptions'!$D$10),ISNUMBER('Assumptions'!$D$67)),MIN('Assumptions'!$D$28,'Assumptions'!$D$10*'Assumptions'!$D$67),"n.a.")</x:f>
        <x:v>8500000</x:v>
      </x:c>
      <x:c r="E17" s="2"/>
      <x:c r="F17" s="2"/>
      <x:c r="G17" s="2" t="str">
        <x:v>Positive exit gap means additional cash is required; negative means surplus before other restrictions.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restricted and operating cash</x:v>
      </x:c>
      <x:c r="D18" s="48" t="n">
        <x:f>IF(AND(ISNUMBER('Assumptions'!$D$19),ISNUMBER('Assumptions'!$D$22)),'Assumptions'!$D$19+'Assumptions'!$D$22,"n.a.")</x:f>
        <x:v>400000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Exit costs and required new reserves</x:v>
      </x:c>
      <x:c r="D19" s="48" t="n">
        <x:f>IF(AND(ISNUMBER('Assumptions'!$D$76)),'Assumptions'!$D$76,"n.a.")</x:f>
        <x:v>250000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6" t="n">
        <x:f>'Operations'!G9</x:f>
        <x:v>46388</x:v>
      </x:c>
      <x:c r="H28" s="46" t="n">
        <x:f>'Operations'!H9</x:f>
        <x:v>46419</x:v>
      </x:c>
      <x:c r="I28" s="46" t="n">
        <x:f>'Operations'!I9</x:f>
        <x:v>46447</x:v>
      </x:c>
      <x:c r="J28" s="46" t="n">
        <x:f>'Operations'!J9</x:f>
        <x:v>46478</x:v>
      </x:c>
      <x:c r="K28" s="46" t="n">
        <x:f>'Operations'!K9</x:f>
        <x:v>46508</x:v>
      </x:c>
      <x:c r="L28" s="46" t="n">
        <x:f>'Operations'!L9</x:f>
        <x:v>46539</x:v>
      </x:c>
      <x:c r="M28" s="46" t="n">
        <x:f>'Operations'!M9</x:f>
        <x:v>46569</x:v>
      </x:c>
      <x:c r="N28" s="46" t="n">
        <x:f>'Operations'!N9</x:f>
        <x:v>46600</x:v>
      </x:c>
      <x:c r="O28" s="46" t="n">
        <x:f>'Operations'!O9</x:f>
        <x:v>46631</x:v>
      </x:c>
      <x:c r="P28" s="46" t="n">
        <x:f>'Operations'!P9</x:f>
        <x:v>46661</x:v>
      </x:c>
      <x:c r="Q28" s="46" t="n">
        <x:f>'Operations'!Q9</x:f>
        <x:v>46692</x:v>
      </x:c>
      <x:c r="R28" s="46" t="n">
        <x:f>'Operations'!R9</x:f>
        <x:v>46722</x:v>
      </x:c>
    </x:row>
    <x:row r="29" ht="21" customHeight="1">
      <x:c r="A29" s="2"/>
      <x:c r="B29" s="2"/>
      <x:c r="C29" s="2" t="str">
        <x:v>Opening construction balance</x:v>
      </x:c>
      <x:c r="D29" s="2"/>
      <x:c r="E29" s="2"/>
      <x:c r="F29" s="2"/>
      <x:c r="G29" s="59" t="n">
        <x:f>0</x:f>
        <x:v>0</x:v>
      </x:c>
      <x:c r="H29" s="59" t="n">
        <x:f>IF(AND(ISNUMBER(G34)),G34,"n.a.")</x:f>
        <x:v>1603000</x:v>
      </x:c>
      <x:c r="I29" s="59" t="n">
        <x:f>IF(AND(ISNUMBER(H34)),H34,"n.a.")</x:f>
        <x:v>1946000</x:v>
      </x:c>
      <x:c r="J29" s="59" t="n">
        <x:f>IF(AND(ISNUMBER(I34)),I34,"n.a.")</x:f>
        <x:v>2499000</x:v>
      </x:c>
      <x:c r="K29" s="59" t="n">
        <x:f>IF(AND(ISNUMBER(J34)),J34,"n.a.")</x:f>
        <x:v>3262000</x:v>
      </x:c>
      <x:c r="L29" s="59" t="n">
        <x:f>IF(AND(ISNUMBER(K34)),K34,"n.a.")</x:f>
        <x:v>4095000</x:v>
      </x:c>
      <x:c r="M29" s="59" t="n">
        <x:f>IF(AND(ISNUMBER(L34)),L34,"n.a.")</x:f>
        <x:v>4928000</x:v>
      </x:c>
      <x:c r="N29" s="59" t="n">
        <x:f>IF(AND(ISNUMBER(M34)),M34,"n.a.")</x:f>
        <x:v>5691000</x:v>
      </x:c>
      <x:c r="O29" s="59" t="n">
        <x:f>IF(AND(ISNUMBER(N34)),N34,"n.a.")</x:f>
        <x:v>6524000</x:v>
      </x:c>
      <x:c r="P29" s="59" t="n">
        <x:f>IF(AND(ISNUMBER(O34)),O34,"n.a.")</x:f>
        <x:v>7077000</x:v>
      </x:c>
      <x:c r="Q29" s="59" t="n">
        <x:f>IF(AND(ISNUMBER(P34)),P34,"n.a.")</x:f>
        <x:v>7595000</x:v>
      </x:c>
      <x:c r="R29" s="59" t="n">
        <x:f>IF(AND(ISNUMBER(Q34)),Q34,"n.a.")</x:f>
        <x:v>7973000</x:v>
      </x:c>
    </x:row>
    <x:row r="30" ht="21" customHeight="1">
      <x:c r="A30" s="2"/>
      <x:c r="B30" s="2"/>
      <x:c r="C30" s="2" t="str">
        <x:v>Project uses, excluding interest</x:v>
      </x:c>
      <x:c r="D30" s="2"/>
      <x:c r="E30" s="2"/>
      <x:c r="F30" s="2"/>
      <x:c r="G30" s="60" t="n">
        <x:f>IF(AND(ISNUMBER('Operations'!G15),ISNUMBER('Assumptions'!$D$13),ISNUMBER('Assumptions'!$D$16)),'Operations'!G15+'Assumptions'!$D$13+'Assumptions'!$D$16,"n.a.")</x:f>
        <x:v>2440000</x:v>
      </x:c>
      <x:c r="H30" s="60" t="n">
        <x:f>IF(AND(ISNUMBER('Operations'!H15)),'Operations'!H15+0,"n.a.")</x:f>
        <x:v>490000</x:v>
      </x:c>
      <x:c r="I30" s="60" t="n">
        <x:f>IF(AND(ISNUMBER('Operations'!I15)),'Operations'!I15+0,"n.a.")</x:f>
        <x:v>790000</x:v>
      </x:c>
      <x:c r="J30" s="60" t="n">
        <x:f>IF(AND(ISNUMBER('Operations'!J15)),'Operations'!J15+0,"n.a.")</x:f>
        <x:v>1090000</x:v>
      </x:c>
      <x:c r="K30" s="60" t="n">
        <x:f>IF(AND(ISNUMBER('Operations'!K15)),'Operations'!K15+0,"n.a.")</x:f>
        <x:v>1190000</x:v>
      </x:c>
      <x:c r="L30" s="60" t="n">
        <x:f>IF(AND(ISNUMBER('Operations'!L15)),'Operations'!L15+0,"n.a.")</x:f>
        <x:v>1190000</x:v>
      </x:c>
      <x:c r="M30" s="60" t="n">
        <x:f>IF(AND(ISNUMBER('Operations'!M15)),'Operations'!M15+0,"n.a.")</x:f>
        <x:v>1090000</x:v>
      </x:c>
      <x:c r="N30" s="60" t="n">
        <x:f>IF(AND(ISNUMBER('Operations'!N15)),'Operations'!N15+0,"n.a.")</x:f>
        <x:v>1190000</x:v>
      </x:c>
      <x:c r="O30" s="60" t="n">
        <x:f>IF(AND(ISNUMBER('Operations'!O15)),'Operations'!O15+0,"n.a.")</x:f>
        <x:v>790000</x:v>
      </x:c>
      <x:c r="P30" s="60" t="n">
        <x:f>IF(AND(ISNUMBER('Operations'!P15)),'Operations'!P15+0,"n.a.")</x:f>
        <x:v>740000</x:v>
      </x:c>
      <x:c r="Q30" s="60" t="n">
        <x:f>IF(AND(ISNUMBER('Operations'!Q15)),'Operations'!Q15+0,"n.a.")</x:f>
        <x:v>540000</x:v>
      </x:c>
      <x:c r="R30" s="60" t="n">
        <x:f>IF(AND(ISNUMBER('Operations'!R15)),'Operations'!R15+0,"n.a.")</x:f>
        <x:v>340000</x:v>
      </x:c>
    </x:row>
    <x:row r="31" ht="21" customHeight="1">
      <x:c r="A31" s="2"/>
      <x:c r="B31" s="2"/>
      <x:c r="C31" s="2" t="str">
        <x:v>Eligible cost for assumed advance</x:v>
      </x:c>
      <x:c r="D31" s="2"/>
      <x:c r="E31" s="2"/>
      <x:c r="F31" s="2"/>
      <x:c r="G31" s="60" t="n">
        <x:f>IF(AND(ISNUMBER('Operations'!G15),ISNUMBER('Assumptions'!$D$13)),'Operations'!G15+'Assumptions'!$D$13,"n.a.")</x:f>
        <x:v>2290000</x:v>
      </x:c>
      <x:c r="H31" s="60" t="n">
        <x:f>IF(AND(ISNUMBER('Operations'!H15)),'Operations'!H15+0,"n.a.")</x:f>
        <x:v>490000</x:v>
      </x:c>
      <x:c r="I31" s="60" t="n">
        <x:f>IF(AND(ISNUMBER('Operations'!I15)),'Operations'!I15+0,"n.a.")</x:f>
        <x:v>790000</x:v>
      </x:c>
      <x:c r="J31" s="60" t="n">
        <x:f>IF(AND(ISNUMBER('Operations'!J15)),'Operations'!J15+0,"n.a.")</x:f>
        <x:v>1090000</x:v>
      </x:c>
      <x:c r="K31" s="60" t="n">
        <x:f>IF(AND(ISNUMBER('Operations'!K15)),'Operations'!K15+0,"n.a.")</x:f>
        <x:v>1190000</x:v>
      </x:c>
      <x:c r="L31" s="60" t="n">
        <x:f>IF(AND(ISNUMBER('Operations'!L15)),'Operations'!L15+0,"n.a.")</x:f>
        <x:v>1190000</x:v>
      </x:c>
      <x:c r="M31" s="60" t="n">
        <x:f>IF(AND(ISNUMBER('Operations'!M15)),'Operations'!M15+0,"n.a.")</x:f>
        <x:v>1090000</x:v>
      </x:c>
      <x:c r="N31" s="60" t="n">
        <x:f>IF(AND(ISNUMBER('Operations'!N15)),'Operations'!N15+0,"n.a.")</x:f>
        <x:v>1190000</x:v>
      </x:c>
      <x:c r="O31" s="60" t="n">
        <x:f>IF(AND(ISNUMBER('Operations'!O15)),'Operations'!O15+0,"n.a.")</x:f>
        <x:v>790000</x:v>
      </x:c>
      <x:c r="P31" s="60" t="n">
        <x:f>IF(AND(ISNUMBER('Operations'!P15)),'Operations'!P15+0,"n.a.")</x:f>
        <x:v>740000</x:v>
      </x:c>
      <x:c r="Q31" s="60" t="n">
        <x:f>IF(AND(ISNUMBER('Operations'!Q15)),'Operations'!Q15+0,"n.a.")</x:f>
        <x:v>540000</x:v>
      </x:c>
      <x:c r="R31" s="60" t="n">
        <x:f>IF(AND(ISNUMBER('Operations'!R15)),'Operations'!R15+0,"n.a.")</x:f>
        <x:v>340000</x:v>
      </x:c>
    </x:row>
    <x:row r="32" ht="21" customHeight="1">
      <x:c r="A32" s="2"/>
      <x:c r="B32" s="2"/>
      <x:c r="C32" s="2" t="str">
        <x:v>Actual scheduled loan advance</x:v>
      </x:c>
      <x:c r="D32" s="2"/>
      <x:c r="E32" s="2"/>
      <x:c r="F32" s="2"/>
      <x:c r="G32" s="60" t="n">
        <x:f>IF(AND(ISNUMBER(D17),ISNUMBER(G29),ISNUMBER(G31),ISNUMBER('Assumptions'!$D$64)),MIN(MAX(0,D17-G29),G31*'Assumptions'!$D$64),"n.a.")</x:f>
        <x:v>1603000</x:v>
      </x:c>
      <x:c r="H32" s="60" t="n">
        <x:f>IF(AND(ISNUMBER(D17),ISNUMBER(H29),ISNUMBER(H31),ISNUMBER('Assumptions'!$D$64)),MIN(MAX(0,D17-H29),H31*'Assumptions'!$D$64),"n.a.")</x:f>
        <x:v>343000</x:v>
      </x:c>
      <x:c r="I32" s="60" t="n">
        <x:f>IF(AND(ISNUMBER(D17),ISNUMBER(I29),ISNUMBER(I31),ISNUMBER('Assumptions'!$D$64)),MIN(MAX(0,D17-I29),I31*'Assumptions'!$D$64),"n.a.")</x:f>
        <x:v>553000</x:v>
      </x:c>
      <x:c r="J32" s="60" t="n">
        <x:f>IF(AND(ISNUMBER(D17),ISNUMBER(J29),ISNUMBER(J31),ISNUMBER('Assumptions'!$D$64)),MIN(MAX(0,D17-J29),J31*'Assumptions'!$D$64),"n.a.")</x:f>
        <x:v>763000</x:v>
      </x:c>
      <x:c r="K32" s="60" t="n">
        <x:f>IF(AND(ISNUMBER(D17),ISNUMBER(K29),ISNUMBER(K31),ISNUMBER('Assumptions'!$D$64)),MIN(MAX(0,D17-K29),K31*'Assumptions'!$D$64),"n.a.")</x:f>
        <x:v>833000</x:v>
      </x:c>
      <x:c r="L32" s="60" t="n">
        <x:f>IF(AND(ISNUMBER(D17),ISNUMBER(L29),ISNUMBER(L31),ISNUMBER('Assumptions'!$D$64)),MIN(MAX(0,D17-L29),L31*'Assumptions'!$D$64),"n.a.")</x:f>
        <x:v>833000</x:v>
      </x:c>
      <x:c r="M32" s="60" t="n">
        <x:f>IF(AND(ISNUMBER(D17),ISNUMBER(M29),ISNUMBER(M31),ISNUMBER('Assumptions'!$D$64)),MIN(MAX(0,D17-M29),M31*'Assumptions'!$D$64),"n.a.")</x:f>
        <x:v>763000</x:v>
      </x:c>
      <x:c r="N32" s="60" t="n">
        <x:f>IF(AND(ISNUMBER(D17),ISNUMBER(N29),ISNUMBER(N31),ISNUMBER('Assumptions'!$D$64)),MIN(MAX(0,D17-N29),N31*'Assumptions'!$D$64),"n.a.")</x:f>
        <x:v>833000</x:v>
      </x:c>
      <x:c r="O32" s="60" t="n">
        <x:f>IF(AND(ISNUMBER(D17),ISNUMBER(O29),ISNUMBER(O31),ISNUMBER('Assumptions'!$D$64)),MIN(MAX(0,D17-O29),O31*'Assumptions'!$D$64),"n.a.")</x:f>
        <x:v>553000</x:v>
      </x:c>
      <x:c r="P32" s="60" t="n">
        <x:f>IF(AND(ISNUMBER(D17),ISNUMBER(P29),ISNUMBER(P31),ISNUMBER('Assumptions'!$D$64)),MIN(MAX(0,D17-P29),P31*'Assumptions'!$D$64),"n.a.")</x:f>
        <x:v>517999.99999999994</x:v>
      </x:c>
      <x:c r="Q32" s="60" t="n">
        <x:f>IF(AND(ISNUMBER(D17),ISNUMBER(Q29),ISNUMBER(Q31),ISNUMBER('Assumptions'!$D$64)),MIN(MAX(0,D17-Q29),Q31*'Assumptions'!$D$64),"n.a.")</x:f>
        <x:v>378000</x:v>
      </x:c>
      <x:c r="R32" s="60" t="n">
        <x:f>IF(AND(ISNUMBER(D17),ISNUMBER(R29),ISNUMBER(R31),ISNUMBER('Assumptions'!$D$64)),MIN(MAX(0,D17-R29),R31*'Assumptions'!$D$64),"n.a.")</x:f>
        <x:v>237999.99999999997</x:v>
      </x:c>
    </x:row>
    <x:row r="33" ht="21" customHeight="1">
      <x:c r="A33" s="2"/>
      <x:c r="B33" s="2"/>
      <x:c r="C33" s="2" t="str">
        <x:v>Cash-paid construction interest</x:v>
      </x:c>
      <x:c r="D33" s="2"/>
      <x:c r="E33" s="2"/>
      <x:c r="F33" s="2"/>
      <x:c r="G33" s="60" t="n">
        <x:f>IF(AND(ISNUMBER(G29),ISNUMBER(G$28),ISNUMBER(G32),ISNUMBER('Project Plan'!$J$10),ISNUMBER('Assumptions'!$D$31)),(G29*DAY(EOMONTH(G$28,0))+G32*(DAY(EOMONTH(G$28,0))-'Project Plan'!$J$10+1))*'Assumptions'!$D$31/365,"n.a.")</x:f>
        <x:v>6719.424657534247</x:v>
      </x:c>
      <x:c r="H33" s="60" t="n">
        <x:f>IF(AND(ISNUMBER(H29),ISNUMBER(H$28),ISNUMBER(H32),ISNUMBER('Project Plan'!$J$11),ISNUMBER('Assumptions'!$D$31)),(H29*DAY(EOMONTH(H$28,0))+H32*(DAY(EOMONTH(H$28,0))-'Project Plan'!$J$11+1))*'Assumptions'!$D$31/365,"n.a.")</x:f>
        <x:v>12251.342465753425</x:v>
      </x:c>
      <x:c r="I33" s="60" t="n">
        <x:f>IF(AND(ISNUMBER(I29),ISNUMBER(I$28),ISNUMBER(I32),ISNUMBER('Project Plan'!$J$12),ISNUMBER('Assumptions'!$D$31)),(I29*DAY(EOMONTH(I$28,0))+I32*(DAY(EOMONTH(I$28,0))-'Project Plan'!$J$12+1))*'Assumptions'!$D$31/365,"n.a.")</x:f>
        <x:v>17192.95890410959</x:v>
      </x:c>
      <x:c r="J33" s="60" t="n">
        <x:f>IF(AND(ISNUMBER(J29),ISNUMBER(J$28),ISNUMBER(J32),ISNUMBER('Project Plan'!$J$13),ISNUMBER('Assumptions'!$D$31)),(J29*DAY(EOMONTH(J$28,0))+J32*(DAY(EOMONTH(J$28,0))-'Project Plan'!$J$13+1))*'Assumptions'!$D$31/365,"n.a.")</x:f>
        <x:v>21495.945205479453</x:v>
      </x:c>
      <x:c r="K33" s="60" t="n">
        <x:f>IF(AND(ISNUMBER(K29),ISNUMBER(K$28),ISNUMBER(K32),ISNUMBER('Project Plan'!$J$14),ISNUMBER('Assumptions'!$D$31)),(K29*DAY(EOMONTH(K$28,0))+K32*(DAY(EOMONTH(K$28,0))-'Project Plan'!$J$14+1))*'Assumptions'!$D$31/365,"n.a.")</x:f>
        <x:v>28425.945205479453</x:v>
      </x:c>
      <x:c r="L33" s="60" t="n">
        <x:f>IF(AND(ISNUMBER(L29),ISNUMBER(L$28),ISNUMBER(L32),ISNUMBER('Project Plan'!$J$15),ISNUMBER('Assumptions'!$D$31)),(L29*DAY(EOMONTH(L$28,0))+L32*(DAY(EOMONTH(L$28,0))-'Project Plan'!$J$15+1))*'Assumptions'!$D$31/365,"n.a.")</x:f>
        <x:v>33578.13698630137</x:v>
      </x:c>
      <x:c r="M33" s="60" t="n">
        <x:f>IF(AND(ISNUMBER(M29),ISNUMBER(M$28),ISNUMBER(M32),ISNUMBER('Project Plan'!$J$16),ISNUMBER('Assumptions'!$D$31)),(M29*DAY(EOMONTH(M$28,0))+M32*(DAY(EOMONTH(M$28,0))-'Project Plan'!$J$16+1))*'Assumptions'!$D$31/365,"n.a.")</x:f>
        <x:v>40867.150684931505</x:v>
      </x:c>
      <x:c r="N33" s="60" t="n">
        <x:f>IF(AND(ISNUMBER(N29),ISNUMBER(N$28),ISNUMBER(N32),ISNUMBER('Project Plan'!$J$17),ISNUMBER('Assumptions'!$D$31)),(N29*DAY(EOMONTH(N$28,0))+N32*(DAY(EOMONTH(N$28,0))-'Project Plan'!$J$17+1))*'Assumptions'!$D$31/365,"n.a.")</x:f>
        <x:v>46992.82191780822</x:v>
      </x:c>
      <x:c r="O33" s="60" t="n">
        <x:f>IF(AND(ISNUMBER(O29),ISNUMBER(O$28),ISNUMBER(O32),ISNUMBER('Project Plan'!$J$18),ISNUMBER('Assumptions'!$D$31)),(O29*DAY(EOMONTH(O$28,0))+O32*(DAY(EOMONTH(O$28,0))-'Project Plan'!$J$18+1))*'Assumptions'!$D$31/365,"n.a.")</x:f>
        <x:v>50441.42465753425</x:v>
      </x:c>
      <x:c r="P33" s="60" t="n">
        <x:f>IF(AND(ISNUMBER(P29),ISNUMBER(P$28),ISNUMBER(P32),ISNUMBER('Project Plan'!$J$19),ISNUMBER('Assumptions'!$D$31)),(P29*DAY(EOMONTH(P$28,0))+P32*(DAY(EOMONTH(P$28,0))-'Project Plan'!$J$19+1))*'Assumptions'!$D$31/365,"n.a.")</x:f>
        <x:v>56266.767123287675</x:v>
      </x:c>
      <x:c r="Q33" s="60" t="n">
        <x:f>IF(AND(ISNUMBER(Q29),ISNUMBER(Q$28),ISNUMBER(Q32),ISNUMBER('Project Plan'!$J$20),ISNUMBER('Assumptions'!$D$31)),(Q29*DAY(EOMONTH(Q$28,0))+Q32*(DAY(EOMONTH(Q$28,0))-'Project Plan'!$J$20+1))*'Assumptions'!$D$31/365,"n.a.")</x:f>
        <x:v>57673.479452054795</x:v>
      </x:c>
      <x:c r="R33" s="60" t="n">
        <x:f>IF(AND(ISNUMBER(R29),ISNUMBER(R$28),ISNUMBER(R32),ISNUMBER('Project Plan'!$J$21),ISNUMBER('Assumptions'!$D$31)),(R29*DAY(EOMONTH(R$28,0))+R32*(DAY(EOMONTH(R$28,0))-'Project Plan'!$J$21+1))*'Assumptions'!$D$31/365,"n.a.")</x:f>
        <x:v>61941.94520547945</x:v>
      </x:c>
    </x:row>
    <x:row r="34" ht="21" customHeight="1">
      <x:c r="A34" s="2"/>
      <x:c r="B34" s="2"/>
      <x:c r="C34" s="2" t="str">
        <x:v>Ending construction balance</x:v>
      </x:c>
      <x:c r="D34" s="2"/>
      <x:c r="E34" s="2"/>
      <x:c r="F34" s="2"/>
      <x:c r="G34" s="59" t="n">
        <x:f>IF(AND(ISNUMBER(G29),ISNUMBER(G32)),G29+G32,"n.a.")</x:f>
        <x:v>1603000</x:v>
      </x:c>
      <x:c r="H34" s="59" t="n">
        <x:f>IF(AND(ISNUMBER(H29),ISNUMBER(H32)),H29+H32,"n.a.")</x:f>
        <x:v>1946000</x:v>
      </x:c>
      <x:c r="I34" s="59" t="n">
        <x:f>IF(AND(ISNUMBER(I29),ISNUMBER(I32)),I29+I32,"n.a.")</x:f>
        <x:v>2499000</x:v>
      </x:c>
      <x:c r="J34" s="59" t="n">
        <x:f>IF(AND(ISNUMBER(J29),ISNUMBER(J32)),J29+J32,"n.a.")</x:f>
        <x:v>3262000</x:v>
      </x:c>
      <x:c r="K34" s="59" t="n">
        <x:f>IF(AND(ISNUMBER(K29),ISNUMBER(K32)),K29+K32,"n.a.")</x:f>
        <x:v>4095000</x:v>
      </x:c>
      <x:c r="L34" s="59" t="n">
        <x:f>IF(AND(ISNUMBER(L29),ISNUMBER(L32)),L29+L32,"n.a.")</x:f>
        <x:v>4928000</x:v>
      </x:c>
      <x:c r="M34" s="59" t="n">
        <x:f>IF(AND(ISNUMBER(M29),ISNUMBER(M32)),M29+M32,"n.a.")</x:f>
        <x:v>5691000</x:v>
      </x:c>
      <x:c r="N34" s="59" t="n">
        <x:f>IF(AND(ISNUMBER(N29),ISNUMBER(N32)),N29+N32,"n.a.")</x:f>
        <x:v>6524000</x:v>
      </x:c>
      <x:c r="O34" s="59" t="n">
        <x:f>IF(AND(ISNUMBER(O29),ISNUMBER(O32)),O29+O32,"n.a.")</x:f>
        <x:v>7077000</x:v>
      </x:c>
      <x:c r="P34" s="59" t="n">
        <x:f>IF(AND(ISNUMBER(P29),ISNUMBER(P32)),P29+P32,"n.a.")</x:f>
        <x:v>7595000</x:v>
      </x:c>
      <x:c r="Q34" s="59" t="n">
        <x:f>IF(AND(ISNUMBER(Q29),ISNUMBER(Q32)),Q29+Q32,"n.a.")</x:f>
        <x:v>7973000</x:v>
      </x:c>
      <x:c r="R34" s="59" t="n">
        <x:f>IF(AND(ISNUMBER(R29),ISNUMBER(R32)),R29+R32,"n.a.")</x:f>
        <x:v>8211000</x:v>
      </x:c>
    </x:row>
    <x:row r="35" ht="21" customHeight="1">
      <x:c r="A35" s="2"/>
      <x:c r="B35" s="2"/>
      <x:c r="C35" s="2" t="str">
        <x:v>Net operating cash during work</x:v>
      </x:c>
      <x:c r="D35" s="2"/>
      <x:c r="E35" s="2"/>
      <x:c r="F35" s="2"/>
      <x:c r="G35" s="60" t="n">
        <x:f>IF(AND(ISNUMBER('Operations'!G20)),'Operations'!G20,"n.a.")</x:f>
        <x:v>0</x:v>
      </x:c>
      <x:c r="H35" s="60" t="n">
        <x:f>IF(AND(ISNUMBER('Operations'!H20)),'Operations'!H20,"n.a.")</x:f>
        <x:v>0</x:v>
      </x:c>
      <x:c r="I35" s="60" t="n">
        <x:f>IF(AND(ISNUMBER('Operations'!I20)),'Operations'!I20,"n.a.")</x:f>
        <x:v>0</x:v>
      </x:c>
      <x:c r="J35" s="60" t="n">
        <x:f>IF(AND(ISNUMBER('Operations'!J20)),'Operations'!J20,"n.a.")</x:f>
        <x:v>0</x:v>
      </x:c>
      <x:c r="K35" s="60" t="n">
        <x:f>IF(AND(ISNUMBER('Operations'!K20)),'Operations'!K20,"n.a.")</x:f>
        <x:v>0</x:v>
      </x:c>
      <x:c r="L35" s="60" t="n">
        <x:f>IF(AND(ISNUMBER('Operations'!L20)),'Operations'!L20,"n.a.")</x:f>
        <x:v>0</x:v>
      </x:c>
      <x:c r="M35" s="60" t="n">
        <x:f>IF(AND(ISNUMBER('Operations'!M20)),'Operations'!M20,"n.a.")</x:f>
        <x:v>0</x:v>
      </x:c>
      <x:c r="N35" s="60" t="n">
        <x:f>IF(AND(ISNUMBER('Operations'!N20)),'Operations'!N20,"n.a.")</x:f>
        <x:v>0</x:v>
      </x:c>
      <x:c r="O35" s="60" t="n">
        <x:f>IF(AND(ISNUMBER('Operations'!O20)),'Operations'!O20,"n.a.")</x:f>
        <x:v>0</x:v>
      </x:c>
      <x:c r="P35" s="60" t="n">
        <x:f>IF(AND(ISNUMBER('Operations'!P20)),'Operations'!P20,"n.a.")</x:f>
        <x:v>15000</x:v>
      </x:c>
      <x:c r="Q35" s="60" t="n">
        <x:f>IF(AND(ISNUMBER('Operations'!Q20)),'Operations'!Q20,"n.a.")</x:f>
        <x:v>55000</x:v>
      </x:c>
      <x:c r="R35" s="60" t="n">
        <x:f>IF(AND(ISNUMBER('Operations'!R20)),'Operations'!R20,"n.a.")</x:f>
        <x:v>95000</x:v>
      </x:c>
    </x:row>
    <x:row r="36" ht="21" customHeight="1">
      <x:c r="A36" s="2"/>
      <x:c r="B36" s="2"/>
      <x:c r="C36" s="2" t="str">
        <x:v>Sponsor cash required this month</x:v>
      </x:c>
      <x:c r="D36" s="2"/>
      <x:c r="E36" s="2"/>
      <x:c r="F36" s="2"/>
      <x:c r="G36" s="59" t="n">
        <x:f>IF(AND(ISNUMBER(G30),ISNUMBER(G33),ISNUMBER(G32),ISNUMBER(G35),ISNUMBER(D18)),G30+G33-G32-G35+D18,"n.a.")</x:f>
        <x:v>1243719.4246575343</x:v>
      </x:c>
      <x:c r="H36" s="59" t="n">
        <x:f>IF(AND(ISNUMBER(H30),ISNUMBER(H33),ISNUMBER(H32),ISNUMBER(H35)),H30+H33-H32-H35+0,"n.a.")</x:f>
        <x:v>159251.34246575343</x:v>
      </x:c>
      <x:c r="I36" s="59" t="n">
        <x:f>IF(AND(ISNUMBER(I30),ISNUMBER(I33),ISNUMBER(I32),ISNUMBER(I35)),I30+I33-I32-I35+0,"n.a.")</x:f>
        <x:v>254192.95890410955</x:v>
      </x:c>
      <x:c r="J36" s="59" t="n">
        <x:f>IF(AND(ISNUMBER(J30),ISNUMBER(J33),ISNUMBER(J32),ISNUMBER(J35)),J30+J33-J32-J35+0,"n.a.")</x:f>
        <x:v>348495.9452054794</x:v>
      </x:c>
      <x:c r="K36" s="59" t="n">
        <x:f>IF(AND(ISNUMBER(K30),ISNUMBER(K33),ISNUMBER(K32),ISNUMBER(K35)),K30+K33-K32-K35+0,"n.a.")</x:f>
        <x:v>385425.9452054794</x:v>
      </x:c>
      <x:c r="L36" s="59" t="n">
        <x:f>IF(AND(ISNUMBER(L30),ISNUMBER(L33),ISNUMBER(L32),ISNUMBER(L35)),L30+L33-L32-L35+0,"n.a.")</x:f>
        <x:v>390578.1369863013</x:v>
      </x:c>
      <x:c r="M36" s="59" t="n">
        <x:f>IF(AND(ISNUMBER(M30),ISNUMBER(M33),ISNUMBER(M32),ISNUMBER(M35)),M30+M33-M32-M35+0,"n.a.")</x:f>
        <x:v>367867.15068493155</x:v>
      </x:c>
      <x:c r="N36" s="59" t="n">
        <x:f>IF(AND(ISNUMBER(N30),ISNUMBER(N33),ISNUMBER(N32),ISNUMBER(N35)),N30+N33-N32-N35+0,"n.a.")</x:f>
        <x:v>403992.82191780815</x:v>
      </x:c>
      <x:c r="O36" s="59" t="n">
        <x:f>IF(AND(ISNUMBER(O30),ISNUMBER(O33),ISNUMBER(O32),ISNUMBER(O35)),O30+O33-O32-O35+0,"n.a.")</x:f>
        <x:v>287441.4246575342</x:v>
      </x:c>
      <x:c r="P36" s="59" t="n">
        <x:f>IF(AND(ISNUMBER(P30),ISNUMBER(P33),ISNUMBER(P32),ISNUMBER(P35)),P30+P33-P32-P35+0,"n.a.")</x:f>
        <x:v>263266.7671232877</x:v>
      </x:c>
      <x:c r="Q36" s="59" t="n">
        <x:f>IF(AND(ISNUMBER(Q30),ISNUMBER(Q33),ISNUMBER(Q32),ISNUMBER(Q35)),Q30+Q33-Q32-Q35+0,"n.a.")</x:f>
        <x:v>164673.47945205483</x:v>
      </x:c>
      <x:c r="R36" s="59" t="n">
        <x:f>IF(AND(ISNUMBER(R30),ISNUMBER(R33),ISNUMBER(R32),ISNUMBER(R35)),R30+R33-R32-R35+0,"n.a.")</x:f>
        <x:v>68941.94520547948</x:v>
      </x:c>
    </x:row>
    <x:row r="37" ht="21" customHeight="1">
      <x:c r="A37" s="2"/>
      <x:c r="B37" s="2"/>
      <x:c r="C37" s="2" t="str">
        <x:v>Cumulative sponsor cash required</x:v>
      </x:c>
      <x:c r="D37" s="2"/>
      <x:c r="E37" s="2"/>
      <x:c r="F37" s="2"/>
      <x:c r="G37" s="59" t="n">
        <x:f>IF(AND(ISNUMBER(G36)),0+G36,"n.a.")</x:f>
        <x:v>1243719.4246575343</x:v>
      </x:c>
      <x:c r="H37" s="59" t="n">
        <x:f>IF(AND(ISNUMBER(G37),ISNUMBER(H36)),G37+H36,"n.a.")</x:f>
        <x:v>1402970.7671232878</x:v>
      </x:c>
      <x:c r="I37" s="59" t="n">
        <x:f>IF(AND(ISNUMBER(H37),ISNUMBER(I36)),H37+I36,"n.a.")</x:f>
        <x:v>1657163.7260273974</x:v>
      </x:c>
      <x:c r="J37" s="59" t="n">
        <x:f>IF(AND(ISNUMBER(I37),ISNUMBER(J36)),I37+J36,"n.a.")</x:f>
        <x:v>2005659.6712328768</x:v>
      </x:c>
      <x:c r="K37" s="59" t="n">
        <x:f>IF(AND(ISNUMBER(J37),ISNUMBER(K36)),J37+K36,"n.a.")</x:f>
        <x:v>2391085.616438356</x:v>
      </x:c>
      <x:c r="L37" s="59" t="n">
        <x:f>IF(AND(ISNUMBER(K37),ISNUMBER(L36)),K37+L36,"n.a.")</x:f>
        <x:v>2781663.7534246575</x:v>
      </x:c>
      <x:c r="M37" s="59" t="n">
        <x:f>IF(AND(ISNUMBER(L37),ISNUMBER(M36)),L37+M36,"n.a.")</x:f>
        <x:v>3149530.904109589</x:v>
      </x:c>
      <x:c r="N37" s="59" t="n">
        <x:f>IF(AND(ISNUMBER(M37),ISNUMBER(N36)),M37+N36,"n.a.")</x:f>
        <x:v>3553523.726027397</x:v>
      </x:c>
      <x:c r="O37" s="59" t="n">
        <x:f>IF(AND(ISNUMBER(N37),ISNUMBER(O36)),N37+O36,"n.a.")</x:f>
        <x:v>3840965.1506849313</x:v>
      </x:c>
      <x:c r="P37" s="59" t="n">
        <x:f>IF(AND(ISNUMBER(O37),ISNUMBER(P36)),O37+P36,"n.a.")</x:f>
        <x:v>4104231.917808219</x:v>
      </x:c>
      <x:c r="Q37" s="59" t="n">
        <x:f>IF(AND(ISNUMBER(P37),ISNUMBER(Q36)),P37+Q36,"n.a.")</x:f>
        <x:v>4268905.397260274</x:v>
      </x:c>
      <x:c r="R37" s="59" t="n">
        <x:f>IF(AND(ISNUMBER(Q37),ISNUMBER(R36)),Q37+R36,"n.a.")</x:f>
        <x:v>4337847.342465754</x:v>
      </x:c>
    </x:row>
    <x:row r="38" ht="21" customHeight="1">
      <x:c r="A38" s="2"/>
      <x:c r="B38" s="2"/>
      <x:c r="C38" s="2" t="str">
        <x:v>Sponsor equity remaining</x:v>
      </x:c>
      <x:c r="D38" s="2"/>
      <x:c r="E38" s="2"/>
      <x:c r="F38" s="2"/>
      <x:c r="G38" s="60" t="n">
        <x:f>IF(AND(ISNUMBER('Assumptions'!$D$25),ISNUMBER(G37)),'Assumptions'!$D$25-G37,"n.a.")</x:f>
        <x:v>4756280.575342465</x:v>
      </x:c>
      <x:c r="H38" s="60" t="n">
        <x:f>IF(AND(ISNUMBER('Assumptions'!$D$25),ISNUMBER(H37)),'Assumptions'!$D$25-H37,"n.a.")</x:f>
        <x:v>4597029.232876712</x:v>
      </x:c>
      <x:c r="I38" s="60" t="n">
        <x:f>IF(AND(ISNUMBER('Assumptions'!$D$25),ISNUMBER(I37)),'Assumptions'!$D$25-I37,"n.a.")</x:f>
        <x:v>4342836.273972603</x:v>
      </x:c>
      <x:c r="J38" s="60" t="n">
        <x:f>IF(AND(ISNUMBER('Assumptions'!$D$25),ISNUMBER(J37)),'Assumptions'!$D$25-J37,"n.a.")</x:f>
        <x:v>3994340.328767123</x:v>
      </x:c>
      <x:c r="K38" s="60" t="n">
        <x:f>IF(AND(ISNUMBER('Assumptions'!$D$25),ISNUMBER(K37)),'Assumptions'!$D$25-K37,"n.a.")</x:f>
        <x:v>3608914.383561644</x:v>
      </x:c>
      <x:c r="L38" s="60" t="n">
        <x:f>IF(AND(ISNUMBER('Assumptions'!$D$25),ISNUMBER(L37)),'Assumptions'!$D$25-L37,"n.a.")</x:f>
        <x:v>3218336.2465753425</x:v>
      </x:c>
      <x:c r="M38" s="60" t="n">
        <x:f>IF(AND(ISNUMBER('Assumptions'!$D$25),ISNUMBER(M37)),'Assumptions'!$D$25-M37,"n.a.")</x:f>
        <x:v>2850469.095890411</x:v>
      </x:c>
      <x:c r="N38" s="60" t="n">
        <x:f>IF(AND(ISNUMBER('Assumptions'!$D$25),ISNUMBER(N37)),'Assumptions'!$D$25-N37,"n.a.")</x:f>
        <x:v>2446476.273972603</x:v>
      </x:c>
      <x:c r="O38" s="60" t="n">
        <x:f>IF(AND(ISNUMBER('Assumptions'!$D$25),ISNUMBER(O37)),'Assumptions'!$D$25-O37,"n.a.")</x:f>
        <x:v>2159034.8493150687</x:v>
      </x:c>
      <x:c r="P38" s="60" t="n">
        <x:f>IF(AND(ISNUMBER('Assumptions'!$D$25),ISNUMBER(P37)),'Assumptions'!$D$25-P37,"n.a.")</x:f>
        <x:v>1895768.0821917811</x:v>
      </x:c>
      <x:c r="Q38" s="60" t="n">
        <x:f>IF(AND(ISNUMBER('Assumptions'!$D$25),ISNUMBER(Q37)),'Assumptions'!$D$25-Q37,"n.a.")</x:f>
        <x:v>1731094.6027397262</x:v>
      </x:c>
      <x:c r="R38" s="60" t="n">
        <x:f>IF(AND(ISNUMBER('Assumptions'!$D$25),ISNUMBER(R37)),'Assumptions'!$D$25-R37,"n.a.")</x:f>
        <x:v>1662152.6575342463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Total construction draws</x:v>
      </x:c>
      <x:c r="D43" s="49" t="n">
        <x:f>IF(AND(ISNUMBER(G32),ISNUMBER(R32)),IF(COUNT(G32:R32)=12,SUM(G32:R32),"n.a."),"n.a.")</x:f>
        <x:v>8211000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Total cash-paid construction interest</x:v>
      </x:c>
      <x:c r="D44" s="49" t="n">
        <x:f>IF(AND(ISNUMBER(G33),ISNUMBER(R33)),IF(COUNT(G33:R33)=12,SUM(G33:R33),"n.a."),"n.a.")</x:f>
        <x:v>433847.34246575343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Peak cumulative sponsor cash</x:v>
      </x:c>
      <x:c r="D45" s="49" t="n">
        <x:f>IF(AND(ISNUMBER(G37),ISNUMBER(R37)),IF(COUNT(G37:R37)=12,MAX(0,G37:R37),"n.a."),"n.a.")</x:f>
        <x:v>4337847.342465754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Available equity less peak requirement</x:v>
      </x:c>
      <x:c r="D46" s="48" t="n">
        <x:f>IF(AND(ISNUMBER('Assumptions'!$D$25),ISNUMBER(D45)),'Assumptions'!$D$25-D45,"n.a.")</x:f>
        <x:v>1662152.6575342463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Construction principal at exit</x:v>
      </x:c>
      <x:c r="D47" s="49" t="n">
        <x:f>IF(AND(ISNUMBER(R34)),R34,"n.a.")</x:f>
        <x:v>8211000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Exit payoff and costs less exit loan</x:v>
      </x:c>
      <x:c r="D48" s="49" t="n">
        <x:f>IF(AND(ISNUMBER(D47),ISNUMBER(D19),ISNUMBER(D14)),D47+D19-D14,"n.a.")</x:f>
        <x:v>-2589000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 t="str">
        <x:v>Permanent annual amortizing service</x:v>
      </x:c>
      <x:c r="D49" s="49" t="n">
        <x:f>IF(AND(ISNUMBER(D14),ISNUMBER(D10)),D14*D10*12,"n.a.")</x:f>
        <x:v>895324.6959469728</x:v>
      </x:c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 t="str">
        <x:v>Stabilized NCF / permanent service</x:v>
      </x:c>
      <x:c r="D50" s="61" t="n">
        <x:f>IF(AND(ISNUMBER(D49),ISNUMBER(D9)),IF(D49=0,"n.a.",D9/D49),"n.a.")</x:f>
        <x:v>1.5078328634419307</x:v>
      </x:c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69" t="n">
        <x:f>23-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,'Assumptions'!$D$73,'Assumptions'!$D$76)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69" t="n">
        <x:f>COUNTIFS('Project Plan'!N10:N21,"Missing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69" t="n">
        <x:f>IF(AND(ISNUMBER('Operations'!E18),ISNUMBER('Operations'!E13),ISNUMBER('Operations'!E17)),'Operations'!E18-'Operations'!E13+'Operations'!E17,"n.a.")</x:f>
        <x:v>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69" t="n">
        <x:f>IF(AND(ISNUMBER('Operations'!E20),ISNUMBER('Operations'!E18),ISNUMBER('Operations'!E19)),'Operations'!E20-'Operations'!E18+'Operations'!E19,"n.a.")</x:f>
        <x:v>0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Construction balance / draws</x:v>
      </x:c>
      <x:c r="D14" s="69" t="n">
        <x:f>IF(AND(ISNUMBER('Debt and Funding'!D47),ISNUMBER('Debt and Funding'!D43)),'Debt and Funding'!D47-'Debt and Funding'!D43,"n.a.")</x:f>
        <x:v>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Sponsor funding conservation</x:v>
      </x:c>
      <x:c r="D15" s="69" t="n">
        <x:f>IF(COUNT('Debt and Funding'!G30:R36)=84,'Debt and Funding'!R37-SUM('Debt and Funding'!G30:R30)-SUM('Debt and Funding'!G33:R33)+SUM('Debt and Funding'!G32:R32)+SUM('Debt and Funding'!G35:R35)-'Debt and Funding'!D18,"n.a.")</x:f>
        <x:v>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Construction interest is paid in cash, not capitalized. One dated draw per month uses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actual days /365, including the draw day. The opening balance accrues for the whole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 t="str">
        <x:v>month.</x:v>
      </x:c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Advance rate applies to acquisition and current hard/soft/leased capital, capped by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 t="str">
        <x:v>remaining commitment. No equity-first rule, retainage, reimbursement lag or</x:v>
      </x:c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 t="str">
        <x:v>discretionary advance approval is inferred.</x:v>
      </x:c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 t="str">
        <x:v>Unused contingency is a separate reserved cash input, not an incurred monthly cost.</x:v>
      </x:c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 t="str">
        <x:v>Permanent exit uses separately entered stabilized annual NCF and as-completed value.</x:v>
      </x:c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 t="str">
        <x:v>The exit at month12 is an illustrative new-loan funding event. Physical completion and a</x:v>
      </x:c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 t="str">
        <x:v>spreadsheet capacity do not establish takeout eligibility. Initial restricted reserves</x:v>
      </x:c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and minimum operating cash remain unspent; monthly sponsor contributions cover all net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project uses.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 t="str">
        <x:v>Every numerical assumption is illustrative. No current market quote, legal conclusion or</x:v>
      </x:c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 t="str">
        <x:v>lender eligibility is represented.</x:v>
      </x:c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 t="str">
        <x:v>NCF is a modeled cash measure after cash reserve deposits. An actual lender may adjust</x:v>
      </x:c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 t="str">
        <x:v>income, expenses, reserves, tax and business cash differently.</x:v>
      </x:c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 t="str">
        <x:v>No tax return, appraisal, legal compliance, guaranty capacity or refinancing approval is</x:v>
      </x:c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 t="str">
        <x:v>established by the calculations.</x:v>
      </x:c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 t="str">
        <x:v>Calculation methods and conventions are shown here. Check Review and replace</x:v>
      </x:c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 t="str">
        <x:v>illustrative inputs before relying on results.</x:v>
      </x:c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5">
    <x:cfRule type="expression" dxfId="5" priority="1">
      <x:formula>ABS(D10)&gt;0.01</x:formula>
    </x:cfRule>
  </x:conditionalFormatting>
  <x:pageMargins left="0.7" right="0.7" top="0.75" bottom="0.75" header="0.3" footer="0.3"/>
</x:worksheet>
</file>