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6108decda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78d42b3969348ac"/>
    <x:sheet xmlns:r="http://schemas.openxmlformats.org/officeDocument/2006/relationships" name="Assumptions" sheetId="2" r:id="R643f116921f24c7e"/>
    <x:sheet xmlns:r="http://schemas.openxmlformats.org/officeDocument/2006/relationships" name="Unit Mix" sheetId="3" r:id="R4651abb5e03d438f"/>
    <x:sheet xmlns:r="http://schemas.openxmlformats.org/officeDocument/2006/relationships" name="Operations" sheetId="4" r:id="Rb5abf96de54e403c"/>
    <x:sheet xmlns:r="http://schemas.openxmlformats.org/officeDocument/2006/relationships" name="Debt and Funding" sheetId="5" r:id="R2a10f477731d49b5"/>
    <x:sheet xmlns:r="http://schemas.openxmlformats.org/officeDocument/2006/relationships" name="Review" sheetId="6" r:id="Re467bcb461aa4a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5df4c2cc240b0" /><Relationship Type="http://schemas.openxmlformats.org/officeDocument/2006/relationships/theme" Target="/xl/theme/theme1.xml" Id="R9d9396cf029f4dee" /><Relationship Type="http://schemas.openxmlformats.org/officeDocument/2006/relationships/sharedStrings" Target="/xl/sharedStrings.xml" Id="R396877e82ab34ca4" /><Relationship Type="http://schemas.openxmlformats.org/officeDocument/2006/relationships/worksheet" Target="/xl/worksheets/sheet1.xml" Id="R878d42b3969348ac" /><Relationship Type="http://schemas.openxmlformats.org/officeDocument/2006/relationships/worksheet" Target="/xl/worksheets/sheet2.xml" Id="R643f116921f24c7e" /><Relationship Type="http://schemas.openxmlformats.org/officeDocument/2006/relationships/worksheet" Target="/xl/worksheets/sheet3.xml" Id="R4651abb5e03d438f" /><Relationship Type="http://schemas.openxmlformats.org/officeDocument/2006/relationships/worksheet" Target="/xl/worksheets/sheet4.xml" Id="Rb5abf96de54e403c" /><Relationship Type="http://schemas.openxmlformats.org/officeDocument/2006/relationships/worksheet" Target="/xl/worksheets/sheet5.xml" Id="R2a10f477731d49b5" /><Relationship Type="http://schemas.openxmlformats.org/officeDocument/2006/relationships/worksheet" Target="/xl/worksheets/sheet6.xml" Id="Re467bcb461aa4a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Multifamily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'Operations'!E13</x:f>
        <x:v>1027824</x:v>
      </x:c>
      <x:c r="E10" s="2"/>
      <x:c r="F10" s="2"/>
      <x:c r="G10" s="70" t="n">
        <x:f>'Operations'!G9</x:f>
        <x:v>46388</x:v>
      </x:c>
      <x:c r="H10" s="71" t="n">
        <x:f>'Debt and Funding'!G36</x:f>
        <x:v>38241.94</x:v>
      </x:c>
      <x:c r="I10" s="71" t="n">
        <x:f>'Debt and Funding'!G37</x:f>
        <x:v>188241.94</x:v>
      </x:c>
      <x:c r="J10" s="71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'Operations'!E17</x:f>
        <x:v>244296</x:v>
      </x:c>
      <x:c r="E11" s="2"/>
      <x:c r="F11" s="2"/>
      <x:c r="G11" s="70" t="n">
        <x:f>'Operations'!H9</x:f>
        <x:v>46419</x:v>
      </x:c>
      <x:c r="H11" s="71" t="n">
        <x:f>'Debt and Funding'!H36</x:f>
        <x:v>38241.94</x:v>
      </x:c>
      <x:c r="I11" s="71" t="n">
        <x:f>'Debt and Funding'!H37</x:f>
        <x:v>226483.88</x:v>
      </x:c>
      <x:c r="J11" s="71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'Operations'!E18</x:f>
        <x:v>783528</x:v>
      </x:c>
      <x:c r="E12" s="2"/>
      <x:c r="F12" s="2"/>
      <x:c r="G12" s="70" t="n">
        <x:f>'Operations'!I9</x:f>
        <x:v>46447</x:v>
      </x:c>
      <x:c r="H12" s="71" t="n">
        <x:f>'Debt and Funding'!I36</x:f>
        <x:v>38241.94</x:v>
      </x:c>
      <x:c r="I12" s="71" t="n">
        <x:f>'Debt and Funding'!I37</x:f>
        <x:v>264725.82</x:v>
      </x:c>
      <x:c r="J12" s="71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'Operations'!E19</x:f>
        <x:v>30834.720000000005</x:v>
      </x:c>
      <x:c r="E13" s="2"/>
      <x:c r="F13" s="2"/>
      <x:c r="G13" s="70" t="n">
        <x:f>'Operations'!J9</x:f>
        <x:v>46478</x:v>
      </x:c>
      <x:c r="H13" s="71" t="n">
        <x:f>'Debt and Funding'!J36</x:f>
        <x:v>38241.94</x:v>
      </x:c>
      <x:c r="I13" s="71" t="n">
        <x:f>'Debt and Funding'!J37</x:f>
        <x:v>302967.76</x:v>
      </x:c>
      <x:c r="J13" s="71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'Operations'!E20</x:f>
        <x:v>752693.2799999998</x:v>
      </x:c>
      <x:c r="E14" s="2"/>
      <x:c r="F14" s="2"/>
      <x:c r="G14" s="70" t="n">
        <x:f>'Operations'!K9</x:f>
        <x:v>46508</x:v>
      </x:c>
      <x:c r="H14" s="71" t="n">
        <x:f>'Debt and Funding'!K36</x:f>
        <x:v>38241.94</x:v>
      </x:c>
      <x:c r="I14" s="71" t="n">
        <x:f>'Debt and Funding'!K37</x:f>
        <x:v>341209.7</x:v>
      </x:c>
      <x:c r="J14" s="71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752693.2799999998</x:v>
      </x:c>
      <x:c r="E15" s="2"/>
      <x:c r="F15" s="2"/>
      <x:c r="G15" s="70" t="n">
        <x:f>'Operations'!L9</x:f>
        <x:v>46539</x:v>
      </x:c>
      <x:c r="H15" s="71" t="n">
        <x:f>'Debt and Funding'!L36</x:f>
        <x:v>38241.94</x:v>
      </x:c>
      <x:c r="I15" s="71" t="n">
        <x:f>'Debt and Funding'!L37</x:f>
        <x:v>379451.64</x:v>
      </x:c>
      <x:c r="J15" s="71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7431726.864366625</x:v>
      </x:c>
      <x:c r="E16" s="2"/>
      <x:c r="F16" s="2"/>
      <x:c r="G16" s="70" t="n">
        <x:f>'Operations'!M9</x:f>
        <x:v>46569</x:v>
      </x:c>
      <x:c r="H16" s="71" t="n">
        <x:f>'Debt and Funding'!M36</x:f>
        <x:v>24123.860707441978</x:v>
      </x:c>
      <x:c r="I16" s="71" t="n">
        <x:f>'Debt and Funding'!M37</x:f>
        <x:v>403575.500707442</x:v>
      </x:c>
      <x:c r="J16" s="71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3900000</x:v>
      </x:c>
      <x:c r="E17" s="2"/>
      <x:c r="F17" s="2"/>
      <x:c r="G17" s="70" t="n">
        <x:f>'Operations'!N9</x:f>
        <x:v>46600</x:v>
      </x:c>
      <x:c r="H17" s="71" t="n">
        <x:f>'Debt and Funding'!N36</x:f>
        <x:v>33033.86070744198</x:v>
      </x:c>
      <x:c r="I17" s="71" t="n">
        <x:f>'Debt and Funding'!N37</x:f>
        <x:v>436609.361414884</x:v>
      </x:c>
      <x:c r="J17" s="71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8363258.666666665</x:v>
      </x:c>
      <x:c r="E18" s="2"/>
      <x:c r="F18" s="2"/>
      <x:c r="G18" s="70" t="n">
        <x:f>'Operations'!O9</x:f>
        <x:v>46631</x:v>
      </x:c>
      <x:c r="H18" s="71" t="n">
        <x:f>'Debt and Funding'!O36</x:f>
        <x:v>33033.86070744198</x:v>
      </x:c>
      <x:c r="I18" s="71" t="n">
        <x:f>'Debt and Funding'!O37</x:f>
        <x:v>469643.22212232597</x:v>
      </x:c>
      <x:c r="J18" s="71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7" t="str">
        <x:v>Sized loan</x:v>
      </x:c>
      <x:c r="D19" s="67" t="n">
        <x:f>'Debt and Funding'!D14</x:f>
        <x:v>3900000</x:v>
      </x:c>
      <x:c r="E19" s="2"/>
      <x:c r="F19" s="2"/>
      <x:c r="G19" s="70" t="n">
        <x:f>'Operations'!P9</x:f>
        <x:v>46661</x:v>
      </x:c>
      <x:c r="H19" s="71" t="n">
        <x:f>'Debt and Funding'!P36</x:f>
        <x:v>33033.86070744198</x:v>
      </x:c>
      <x:c r="I19" s="71" t="n">
        <x:f>'Debt and Funding'!P37</x:f>
        <x:v>502677.08282976795</x:v>
      </x:c>
      <x:c r="J19" s="71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8" t="str">
        <x:f>'Debt and Funding'!D15</x:f>
        <x:v>LTV</x:v>
      </x:c>
      <x:c r="E20" s="2"/>
      <x:c r="F20" s="2"/>
      <x:c r="G20" s="70" t="n">
        <x:f>'Operations'!Q9</x:f>
        <x:v>46692</x:v>
      </x:c>
      <x:c r="H20" s="71" t="n">
        <x:f>'Debt and Funding'!Q36</x:f>
        <x:v>33033.86070744198</x:v>
      </x:c>
      <x:c r="I20" s="71" t="n">
        <x:f>'Debt and Funding'!Q37</x:f>
        <x:v>535710.9435372099</x:v>
      </x:c>
      <x:c r="J20" s="71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284748.4757553481</x:v>
      </x:c>
      <x:c r="E21" s="2"/>
      <x:c r="F21" s="2"/>
      <x:c r="G21" s="70" t="n">
        <x:f>'Operations'!R9</x:f>
        <x:v>46722</x:v>
      </x:c>
      <x:c r="H21" s="71" t="n">
        <x:f>'Debt and Funding'!R36</x:f>
        <x:v>33033.86070744198</x:v>
      </x:c>
      <x:c r="I21" s="71" t="n">
        <x:f>'Debt and Funding'!R37</x:f>
        <x:v>568744.8042446518</x:v>
      </x:c>
      <x:c r="J21" s="71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9" t="n">
        <x:f>'Debt and Funding'!D44</x:f>
        <x:v>2.643361928464556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7" t="str">
        <x:v>Sponsor cash after all modeled needs</x:v>
      </x:c>
      <x:c r="D26" s="67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3868325.299229816</x:v>
      </x:c>
      <x:c r="E27" s="2"/>
      <x:c r="F27" s="2"/>
      <x:c r="G27" s="2" t="str">
        <x:v>Edit blue cells in Unit Mix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Turn concessions are cash deductions, not a second occupancy loss. Turn capital is below NOI. Occupancy is an average monthly fraction, not a unit-level rent roll.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Occupied units do not prove paid collections. The activity multiplier is an economic-occupancy proxy and the price multiplier can represent collection or rent changes; reconcile actual rent, delinquency and bad-debt evidence before use.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Unit Mix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Units</x:v>
      </x:c>
      <x:c r="E9" s="21" t="str">
        <x:v>Monthly market rent</x:v>
      </x:c>
      <x:c r="F9" s="21" t="str">
        <x:v>Occupied fraction</x:v>
      </x:c>
      <x:c r="G9" s="21" t="str">
        <x:v>Monthly turns</x:v>
      </x:c>
      <x:c r="H9" s="21" t="str">
        <x:v>Concession / turn</x:v>
      </x:c>
      <x:c r="I9" s="21" t="str">
        <x:v>Other / occupied unit</x:v>
      </x:c>
      <x:c r="J9" s="21" t="str">
        <x:v>Repairs / occupied unit</x:v>
      </x:c>
      <x:c r="K9" s="21" t="str">
        <x:v>Turn capital / unit</x:v>
      </x:c>
      <x:c r="L9" s="2"/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60</x:v>
      </x:c>
      <x:c r="E10" s="27" t="n">
        <x:v>1500</x:v>
      </x:c>
      <x:c r="F10" s="30" t="n">
        <x:v>0.94</x:v>
      </x:c>
      <x:c r="G10" s="16" t="n">
        <x:v>3</x:v>
      </x:c>
      <x:c r="H10" s="27" t="n">
        <x:v>600</x:v>
      </x:c>
      <x:c r="I10" s="27" t="n">
        <x:v>55</x:v>
      </x:c>
      <x:c r="J10" s="27" t="n">
        <x:v>95</x:v>
      </x:c>
      <x:c r="K10" s="27" t="n">
        <x:v>1200</x:v>
      </x:c>
      <x:c r="L10" s="2"/>
      <x:c r="M10" s="2"/>
      <x:c r="N10" s="13" t="str">
        <x:f>IF(AND(IF(ISNUMBER(D10),AND(D10&gt;=0,D10&lt;=1000000000000),FALSE),IF(ISNUMBER(E10),AND(E10&gt;=0,E10&lt;=1000000000000),FALSE),IF(ISNUMBER(F10),AND(F10&gt;=0,F10&lt;=1),FALSE),IF(ISNUMBER(G10),AND(G10&gt;=0,G10&lt;=1000000000000),FALSE),IF(ISNUMBER(H10),AND(H10&gt;=0,H10&lt;=1000000000000),FALSE),IF(ISNUMBER(I10),AND(I10&gt;=0,I10&lt;=1000000000000),FALSE),IF(ISNUMBER(J10),AND(J10&gt;=0,J10&lt;=1000000000000),FALSE),IF(ISNUMBER(K10),AND(K10&gt;=0,K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60</x:v>
      </x:c>
      <x:c r="E11" s="27" t="n">
        <x:v>1500</x:v>
      </x:c>
      <x:c r="F11" s="30" t="n">
        <x:v>0.94</x:v>
      </x:c>
      <x:c r="G11" s="16" t="n">
        <x:v>3</x:v>
      </x:c>
      <x:c r="H11" s="27" t="n">
        <x:v>600</x:v>
      </x:c>
      <x:c r="I11" s="27" t="n">
        <x:v>55</x:v>
      </x:c>
      <x:c r="J11" s="27" t="n">
        <x:v>95</x:v>
      </x:c>
      <x:c r="K11" s="27" t="n">
        <x:v>1200</x:v>
      </x:c>
      <x:c r="L11" s="2"/>
      <x:c r="M11" s="2"/>
      <x:c r="N11" s="13" t="str">
        <x:f>IF(AND(IF(ISNUMBER(D11),AND(D11&gt;=0,D11&lt;=1000000000000),FALSE),IF(ISNUMBER(E11),AND(E11&gt;=0,E11&lt;=1000000000000),FALSE),IF(ISNUMBER(F11),AND(F11&gt;=0,F11&lt;=1),FALSE),IF(ISNUMBER(G11),AND(G11&gt;=0,G11&lt;=1000000000000),FALSE),IF(ISNUMBER(H11),AND(H11&gt;=0,H11&lt;=1000000000000),FALSE),IF(ISNUMBER(I11),AND(I11&gt;=0,I11&lt;=1000000000000),FALSE),IF(ISNUMBER(J11),AND(J11&gt;=0,J11&lt;=1000000000000),FALSE),IF(ISNUMBER(K11),AND(K11&gt;=0,K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60</x:v>
      </x:c>
      <x:c r="E12" s="27" t="n">
        <x:v>1500</x:v>
      </x:c>
      <x:c r="F12" s="30" t="n">
        <x:v>0.94</x:v>
      </x:c>
      <x:c r="G12" s="16" t="n">
        <x:v>3</x:v>
      </x:c>
      <x:c r="H12" s="27" t="n">
        <x:v>600</x:v>
      </x:c>
      <x:c r="I12" s="27" t="n">
        <x:v>55</x:v>
      </x:c>
      <x:c r="J12" s="27" t="n">
        <x:v>95</x:v>
      </x:c>
      <x:c r="K12" s="27" t="n">
        <x:v>1200</x:v>
      </x:c>
      <x:c r="L12" s="2"/>
      <x:c r="M12" s="2"/>
      <x:c r="N12" s="13" t="str">
        <x:f>IF(AND(IF(ISNUMBER(D12),AND(D12&gt;=0,D12&lt;=1000000000000),FALSE),IF(ISNUMBER(E12),AND(E12&gt;=0,E12&lt;=1000000000000),FALSE),IF(ISNUMBER(F12),AND(F12&gt;=0,F12&lt;=1),FALSE),IF(ISNUMBER(G12),AND(G12&gt;=0,G12&lt;=1000000000000),FALSE),IF(ISNUMBER(H12),AND(H12&gt;=0,H12&lt;=1000000000000),FALSE),IF(ISNUMBER(I12),AND(I12&gt;=0,I12&lt;=1000000000000),FALSE),IF(ISNUMBER(J12),AND(J12&gt;=0,J12&lt;=1000000000000),FALSE),IF(ISNUMBER(K12),AND(K12&gt;=0,K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60</x:v>
      </x:c>
      <x:c r="E13" s="27" t="n">
        <x:v>1500</x:v>
      </x:c>
      <x:c r="F13" s="30" t="n">
        <x:v>0.94</x:v>
      </x:c>
      <x:c r="G13" s="16" t="n">
        <x:v>3</x:v>
      </x:c>
      <x:c r="H13" s="27" t="n">
        <x:v>600</x:v>
      </x:c>
      <x:c r="I13" s="27" t="n">
        <x:v>55</x:v>
      </x:c>
      <x:c r="J13" s="27" t="n">
        <x:v>95</x:v>
      </x:c>
      <x:c r="K13" s="27" t="n">
        <x:v>1200</x:v>
      </x:c>
      <x:c r="L13" s="2"/>
      <x:c r="M13" s="2"/>
      <x:c r="N13" s="13" t="str">
        <x:f>IF(AND(IF(ISNUMBER(D13),AND(D13&gt;=0,D13&lt;=1000000000000),FALSE),IF(ISNUMBER(E13),AND(E13&gt;=0,E13&lt;=1000000000000),FALSE),IF(ISNUMBER(F13),AND(F13&gt;=0,F13&lt;=1),FALSE),IF(ISNUMBER(G13),AND(G13&gt;=0,G13&lt;=1000000000000),FALSE),IF(ISNUMBER(H13),AND(H13&gt;=0,H13&lt;=1000000000000),FALSE),IF(ISNUMBER(I13),AND(I13&gt;=0,I13&lt;=1000000000000),FALSE),IF(ISNUMBER(J13),AND(J13&gt;=0,J13&lt;=1000000000000),FALSE),IF(ISNUMBER(K13),AND(K13&gt;=0,K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60</x:v>
      </x:c>
      <x:c r="E14" s="27" t="n">
        <x:v>1500</x:v>
      </x:c>
      <x:c r="F14" s="30" t="n">
        <x:v>0.94</x:v>
      </x:c>
      <x:c r="G14" s="16" t="n">
        <x:v>3</x:v>
      </x:c>
      <x:c r="H14" s="27" t="n">
        <x:v>600</x:v>
      </x:c>
      <x:c r="I14" s="27" t="n">
        <x:v>55</x:v>
      </x:c>
      <x:c r="J14" s="27" t="n">
        <x:v>95</x:v>
      </x:c>
      <x:c r="K14" s="27" t="n">
        <x:v>1200</x:v>
      </x:c>
      <x:c r="L14" s="2"/>
      <x:c r="M14" s="2"/>
      <x:c r="N14" s="13" t="str">
        <x:f>IF(AND(IF(ISNUMBER(D14),AND(D14&gt;=0,D14&lt;=1000000000000),FALSE),IF(ISNUMBER(E14),AND(E14&gt;=0,E14&lt;=1000000000000),FALSE),IF(ISNUMBER(F14),AND(F14&gt;=0,F14&lt;=1),FALSE),IF(ISNUMBER(G14),AND(G14&gt;=0,G14&lt;=1000000000000),FALSE),IF(ISNUMBER(H14),AND(H14&gt;=0,H14&lt;=1000000000000),FALSE),IF(ISNUMBER(I14),AND(I14&gt;=0,I14&lt;=1000000000000),FALSE),IF(ISNUMBER(J14),AND(J14&gt;=0,J14&lt;=1000000000000),FALSE),IF(ISNUMBER(K14),AND(K14&gt;=0,K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60</x:v>
      </x:c>
      <x:c r="E15" s="27" t="n">
        <x:v>1500</x:v>
      </x:c>
      <x:c r="F15" s="30" t="n">
        <x:v>0.94</x:v>
      </x:c>
      <x:c r="G15" s="16" t="n">
        <x:v>3</x:v>
      </x:c>
      <x:c r="H15" s="27" t="n">
        <x:v>600</x:v>
      </x:c>
      <x:c r="I15" s="27" t="n">
        <x:v>55</x:v>
      </x:c>
      <x:c r="J15" s="27" t="n">
        <x:v>95</x:v>
      </x:c>
      <x:c r="K15" s="27" t="n">
        <x:v>1200</x:v>
      </x:c>
      <x:c r="L15" s="2"/>
      <x:c r="M15" s="2"/>
      <x:c r="N15" s="13" t="str">
        <x:f>IF(AND(IF(ISNUMBER(D15),AND(D15&gt;=0,D15&lt;=1000000000000),FALSE),IF(ISNUMBER(E15),AND(E15&gt;=0,E15&lt;=1000000000000),FALSE),IF(ISNUMBER(F15),AND(F15&gt;=0,F15&lt;=1),FALSE),IF(ISNUMBER(G15),AND(G15&gt;=0,G15&lt;=1000000000000),FALSE),IF(ISNUMBER(H15),AND(H15&gt;=0,H15&lt;=1000000000000),FALSE),IF(ISNUMBER(I15),AND(I15&gt;=0,I15&lt;=1000000000000),FALSE),IF(ISNUMBER(J15),AND(J15&gt;=0,J15&lt;=1000000000000),FALSE),IF(ISNUMBER(K15),AND(K15&gt;=0,K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60</x:v>
      </x:c>
      <x:c r="E16" s="27" t="n">
        <x:v>1500</x:v>
      </x:c>
      <x:c r="F16" s="30" t="n">
        <x:v>0.94</x:v>
      </x:c>
      <x:c r="G16" s="16" t="n">
        <x:v>8</x:v>
      </x:c>
      <x:c r="H16" s="27" t="n">
        <x:v>600</x:v>
      </x:c>
      <x:c r="I16" s="27" t="n">
        <x:v>55</x:v>
      </x:c>
      <x:c r="J16" s="27" t="n">
        <x:v>95</x:v>
      </x:c>
      <x:c r="K16" s="27" t="n">
        <x:v>1200</x:v>
      </x:c>
      <x:c r="L16" s="2"/>
      <x:c r="M16" s="2"/>
      <x:c r="N16" s="13" t="str">
        <x:f>IF(AND(IF(ISNUMBER(D16),AND(D16&gt;=0,D16&lt;=1000000000000),FALSE),IF(ISNUMBER(E16),AND(E16&gt;=0,E16&lt;=1000000000000),FALSE),IF(ISNUMBER(F16),AND(F16&gt;=0,F16&lt;=1),FALSE),IF(ISNUMBER(G16),AND(G16&gt;=0,G16&lt;=1000000000000),FALSE),IF(ISNUMBER(H16),AND(H16&gt;=0,H16&lt;=1000000000000),FALSE),IF(ISNUMBER(I16),AND(I16&gt;=0,I16&lt;=1000000000000),FALSE),IF(ISNUMBER(J16),AND(J16&gt;=0,J16&lt;=1000000000000),FALSE),IF(ISNUMBER(K16),AND(K16&gt;=0,K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60</x:v>
      </x:c>
      <x:c r="E17" s="27" t="n">
        <x:v>1500</x:v>
      </x:c>
      <x:c r="F17" s="30" t="n">
        <x:v>0.94</x:v>
      </x:c>
      <x:c r="G17" s="16" t="n">
        <x:v>3</x:v>
      </x:c>
      <x:c r="H17" s="27" t="n">
        <x:v>600</x:v>
      </x:c>
      <x:c r="I17" s="27" t="n">
        <x:v>55</x:v>
      </x:c>
      <x:c r="J17" s="27" t="n">
        <x:v>95</x:v>
      </x:c>
      <x:c r="K17" s="27" t="n">
        <x:v>1200</x:v>
      </x:c>
      <x:c r="L17" s="2"/>
      <x:c r="M17" s="2"/>
      <x:c r="N17" s="13" t="str">
        <x:f>IF(AND(IF(ISNUMBER(D17),AND(D17&gt;=0,D17&lt;=1000000000000),FALSE),IF(ISNUMBER(E17),AND(E17&gt;=0,E17&lt;=1000000000000),FALSE),IF(ISNUMBER(F17),AND(F17&gt;=0,F17&lt;=1),FALSE),IF(ISNUMBER(G17),AND(G17&gt;=0,G17&lt;=1000000000000),FALSE),IF(ISNUMBER(H17),AND(H17&gt;=0,H17&lt;=1000000000000),FALSE),IF(ISNUMBER(I17),AND(I17&gt;=0,I17&lt;=1000000000000),FALSE),IF(ISNUMBER(J17),AND(J17&gt;=0,J17&lt;=1000000000000),FALSE),IF(ISNUMBER(K17),AND(K17&gt;=0,K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60</x:v>
      </x:c>
      <x:c r="E18" s="27" t="n">
        <x:v>1500</x:v>
      </x:c>
      <x:c r="F18" s="30" t="n">
        <x:v>0.94</x:v>
      </x:c>
      <x:c r="G18" s="16" t="n">
        <x:v>3</x:v>
      </x:c>
      <x:c r="H18" s="27" t="n">
        <x:v>600</x:v>
      </x:c>
      <x:c r="I18" s="27" t="n">
        <x:v>55</x:v>
      </x:c>
      <x:c r="J18" s="27" t="n">
        <x:v>95</x:v>
      </x:c>
      <x:c r="K18" s="27" t="n">
        <x:v>1200</x:v>
      </x:c>
      <x:c r="L18" s="2"/>
      <x:c r="M18" s="2"/>
      <x:c r="N18" s="13" t="str">
        <x:f>IF(AND(IF(ISNUMBER(D18),AND(D18&gt;=0,D18&lt;=1000000000000),FALSE),IF(ISNUMBER(E18),AND(E18&gt;=0,E18&lt;=1000000000000),FALSE),IF(ISNUMBER(F18),AND(F18&gt;=0,F18&lt;=1),FALSE),IF(ISNUMBER(G18),AND(G18&gt;=0,G18&lt;=1000000000000),FALSE),IF(ISNUMBER(H18),AND(H18&gt;=0,H18&lt;=1000000000000),FALSE),IF(ISNUMBER(I18),AND(I18&gt;=0,I18&lt;=1000000000000),FALSE),IF(ISNUMBER(J18),AND(J18&gt;=0,J18&lt;=1000000000000),FALSE),IF(ISNUMBER(K18),AND(K18&gt;=0,K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60</x:v>
      </x:c>
      <x:c r="E19" s="27" t="n">
        <x:v>1500</x:v>
      </x:c>
      <x:c r="F19" s="30" t="n">
        <x:v>0.94</x:v>
      </x:c>
      <x:c r="G19" s="16" t="n">
        <x:v>3</x:v>
      </x:c>
      <x:c r="H19" s="27" t="n">
        <x:v>600</x:v>
      </x:c>
      <x:c r="I19" s="27" t="n">
        <x:v>55</x:v>
      </x:c>
      <x:c r="J19" s="27" t="n">
        <x:v>95</x:v>
      </x:c>
      <x:c r="K19" s="27" t="n">
        <x:v>1200</x:v>
      </x:c>
      <x:c r="L19" s="2"/>
      <x:c r="M19" s="2"/>
      <x:c r="N19" s="13" t="str">
        <x:f>IF(AND(IF(ISNUMBER(D19),AND(D19&gt;=0,D19&lt;=1000000000000),FALSE),IF(ISNUMBER(E19),AND(E19&gt;=0,E19&lt;=1000000000000),FALSE),IF(ISNUMBER(F19),AND(F19&gt;=0,F19&lt;=1),FALSE),IF(ISNUMBER(G19),AND(G19&gt;=0,G19&lt;=1000000000000),FALSE),IF(ISNUMBER(H19),AND(H19&gt;=0,H19&lt;=1000000000000),FALSE),IF(ISNUMBER(I19),AND(I19&gt;=0,I19&lt;=1000000000000),FALSE),IF(ISNUMBER(J19),AND(J19&gt;=0,J19&lt;=1000000000000),FALSE),IF(ISNUMBER(K19),AND(K19&gt;=0,K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60</x:v>
      </x:c>
      <x:c r="E20" s="27" t="n">
        <x:v>1500</x:v>
      </x:c>
      <x:c r="F20" s="30" t="n">
        <x:v>0.94</x:v>
      </x:c>
      <x:c r="G20" s="16" t="n">
        <x:v>3</x:v>
      </x:c>
      <x:c r="H20" s="27" t="n">
        <x:v>600</x:v>
      </x:c>
      <x:c r="I20" s="27" t="n">
        <x:v>55</x:v>
      </x:c>
      <x:c r="J20" s="27" t="n">
        <x:v>95</x:v>
      </x:c>
      <x:c r="K20" s="27" t="n">
        <x:v>1200</x:v>
      </x:c>
      <x:c r="L20" s="2"/>
      <x:c r="M20" s="2"/>
      <x:c r="N20" s="13" t="str">
        <x:f>IF(AND(IF(ISNUMBER(D20),AND(D20&gt;=0,D20&lt;=1000000000000),FALSE),IF(ISNUMBER(E20),AND(E20&gt;=0,E20&lt;=1000000000000),FALSE),IF(ISNUMBER(F20),AND(F20&gt;=0,F20&lt;=1),FALSE),IF(ISNUMBER(G20),AND(G20&gt;=0,G20&lt;=1000000000000),FALSE),IF(ISNUMBER(H20),AND(H20&gt;=0,H20&lt;=1000000000000),FALSE),IF(ISNUMBER(I20),AND(I20&gt;=0,I20&lt;=1000000000000),FALSE),IF(ISNUMBER(J20),AND(J20&gt;=0,J20&lt;=1000000000000),FALSE),IF(ISNUMBER(K20),AND(K20&gt;=0,K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60</x:v>
      </x:c>
      <x:c r="E21" s="27" t="n">
        <x:v>1500</x:v>
      </x:c>
      <x:c r="F21" s="30" t="n">
        <x:v>0.94</x:v>
      </x:c>
      <x:c r="G21" s="16" t="n">
        <x:v>3</x:v>
      </x:c>
      <x:c r="H21" s="27" t="n">
        <x:v>600</x:v>
      </x:c>
      <x:c r="I21" s="27" t="n">
        <x:v>55</x:v>
      </x:c>
      <x:c r="J21" s="27" t="n">
        <x:v>95</x:v>
      </x:c>
      <x:c r="K21" s="27" t="n">
        <x:v>1200</x:v>
      </x:c>
      <x:c r="L21" s="2"/>
      <x:c r="M21" s="2"/>
      <x:c r="N21" s="13" t="str">
        <x:f>IF(AND(IF(ISNUMBER(D21),AND(D21&gt;=0,D21&lt;=1000000000000),FALSE),IF(ISNUMBER(E21),AND(E21&gt;=0,E21&lt;=1000000000000),FALSE),IF(ISNUMBER(F21),AND(F21&gt;=0,F21&lt;=1),FALSE),IF(ISNUMBER(G21),AND(G21&gt;=0,G21&lt;=1000000000000),FALSE),IF(ISNUMBER(H21),AND(H21&gt;=0,H21&lt;=1000000000000),FALSE),IF(ISNUMBER(I21),AND(I21&gt;=0,I21&lt;=1000000000000),FALSE),IF(ISNUMBER(J21),AND(J21&gt;=0,J21&lt;=1000000000000),FALSE),IF(ISNUMBER(K21),AND(K21&gt;=0,K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96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Occupied units</x:v>
      </x:c>
      <x:c r="D10" s="2" t="str">
        <x:v>units avg</x:v>
      </x:c>
      <x:c r="E10" s="49" t="n">
        <x:f>IF(COUNT(G10:R10)=12,AVERAGE(G10:R10),"n.a.")</x:f>
        <x:v>56.399999999999984</x:v>
      </x:c>
      <x:c r="F10" s="2"/>
      <x:c r="G10" s="48" t="n">
        <x:f>IF(AND('Unit Mix'!N10="OK"),IF(AND(ISNUMBER('Unit Mix'!$D$10),ISNUMBER('Unit Mix'!$F$10),ISNUMBER('Assumptions'!$D$61)),'Unit Mix'!$D$10*MIN(1,'Unit Mix'!$F$10*'Assumptions'!$D$61),"n.a."),"n.a.")</x:f>
        <x:v>56.4</x:v>
      </x:c>
      <x:c r="H10" s="48" t="n">
        <x:f>IF(AND('Unit Mix'!N11="OK"),IF(AND(ISNUMBER('Unit Mix'!$D$11),ISNUMBER('Unit Mix'!$F$11),ISNUMBER('Assumptions'!$D$61)),'Unit Mix'!$D$11*MIN(1,'Unit Mix'!$F$11*'Assumptions'!$D$61),"n.a."),"n.a.")</x:f>
        <x:v>56.4</x:v>
      </x:c>
      <x:c r="I10" s="48" t="n">
        <x:f>IF(AND('Unit Mix'!N12="OK"),IF(AND(ISNUMBER('Unit Mix'!$D$12),ISNUMBER('Unit Mix'!$F$12),ISNUMBER('Assumptions'!$D$61)),'Unit Mix'!$D$12*MIN(1,'Unit Mix'!$F$12*'Assumptions'!$D$61),"n.a."),"n.a.")</x:f>
        <x:v>56.4</x:v>
      </x:c>
      <x:c r="J10" s="48" t="n">
        <x:f>IF(AND('Unit Mix'!N13="OK"),IF(AND(ISNUMBER('Unit Mix'!$D$13),ISNUMBER('Unit Mix'!$F$13),ISNUMBER('Assumptions'!$D$61)),'Unit Mix'!$D$13*MIN(1,'Unit Mix'!$F$13*'Assumptions'!$D$61),"n.a."),"n.a.")</x:f>
        <x:v>56.4</x:v>
      </x:c>
      <x:c r="K10" s="48" t="n">
        <x:f>IF(AND('Unit Mix'!N14="OK"),IF(AND(ISNUMBER('Unit Mix'!$D$14),ISNUMBER('Unit Mix'!$F$14),ISNUMBER('Assumptions'!$D$61)),'Unit Mix'!$D$14*MIN(1,'Unit Mix'!$F$14*'Assumptions'!$D$61),"n.a."),"n.a.")</x:f>
        <x:v>56.4</x:v>
      </x:c>
      <x:c r="L10" s="48" t="n">
        <x:f>IF(AND('Unit Mix'!N15="OK"),IF(AND(ISNUMBER('Unit Mix'!$D$15),ISNUMBER('Unit Mix'!$F$15),ISNUMBER('Assumptions'!$D$61)),'Unit Mix'!$D$15*MIN(1,'Unit Mix'!$F$15*'Assumptions'!$D$61),"n.a."),"n.a.")</x:f>
        <x:v>56.4</x:v>
      </x:c>
      <x:c r="M10" s="48" t="n">
        <x:f>IF(AND('Unit Mix'!N16="OK"),IF(AND(ISNUMBER('Unit Mix'!$D$16),ISNUMBER('Unit Mix'!$F$16),ISNUMBER('Assumptions'!$D$61)),'Unit Mix'!$D$16*MIN(1,'Unit Mix'!$F$16*'Assumptions'!$D$61),"n.a."),"n.a.")</x:f>
        <x:v>56.4</x:v>
      </x:c>
      <x:c r="N10" s="48" t="n">
        <x:f>IF(AND('Unit Mix'!N17="OK"),IF(AND(ISNUMBER('Unit Mix'!$D$17),ISNUMBER('Unit Mix'!$F$17),ISNUMBER('Assumptions'!$D$61)),'Unit Mix'!$D$17*MIN(1,'Unit Mix'!$F$17*'Assumptions'!$D$61),"n.a."),"n.a.")</x:f>
        <x:v>56.4</x:v>
      </x:c>
      <x:c r="O10" s="48" t="n">
        <x:f>IF(AND('Unit Mix'!N18="OK"),IF(AND(ISNUMBER('Unit Mix'!$D$18),ISNUMBER('Unit Mix'!$F$18),ISNUMBER('Assumptions'!$D$61)),'Unit Mix'!$D$18*MIN(1,'Unit Mix'!$F$18*'Assumptions'!$D$61),"n.a."),"n.a.")</x:f>
        <x:v>56.4</x:v>
      </x:c>
      <x:c r="P10" s="48" t="n">
        <x:f>IF(AND('Unit Mix'!N19="OK"),IF(AND(ISNUMBER('Unit Mix'!$D$19),ISNUMBER('Unit Mix'!$F$19),ISNUMBER('Assumptions'!$D$61)),'Unit Mix'!$D$19*MIN(1,'Unit Mix'!$F$19*'Assumptions'!$D$61),"n.a."),"n.a.")</x:f>
        <x:v>56.4</x:v>
      </x:c>
      <x:c r="Q10" s="48" t="n">
        <x:f>IF(AND('Unit Mix'!N20="OK"),IF(AND(ISNUMBER('Unit Mix'!$D$20),ISNUMBER('Unit Mix'!$F$20),ISNUMBER('Assumptions'!$D$61)),'Unit Mix'!$D$20*MIN(1,'Unit Mix'!$F$20*'Assumptions'!$D$61),"n.a."),"n.a.")</x:f>
        <x:v>56.4</x:v>
      </x:c>
      <x:c r="R10" s="48" t="n">
        <x:f>IF(AND('Unit Mix'!N21="OK"),IF(AND(ISNUMBER('Unit Mix'!$D$21),ISNUMBER('Unit Mix'!$F$21),ISNUMBER('Assumptions'!$D$61)),'Unit Mix'!$D$21*MIN(1,'Unit Mix'!$F$21*'Assumptions'!$D$61),"n.a."),"n.a.")</x:f>
        <x:v>56.4</x:v>
      </x:c>
    </x:row>
    <x:row r="11" ht="21" customHeight="1">
      <x:c r="A11" s="2"/>
      <x:c r="B11" s="2"/>
      <x:c r="C11" s="2" t="str">
        <x:v>Occupied rent</x:v>
      </x:c>
      <x:c r="D11" s="2" t="str">
        <x:v>USD</x:v>
      </x:c>
      <x:c r="E11" s="52" t="n">
        <x:f>IF(COUNT(G11:R11)=12,SUM(G11:R11),"n.a.")</x:f>
        <x:v>1015200</x:v>
      </x:c>
      <x:c r="F11" s="2"/>
      <x:c r="G11" s="51" t="n">
        <x:f>IF(AND('Unit Mix'!N10="OK"),IF(AND(ISNUMBER(G10),ISNUMBER('Unit Mix'!$E$10),ISNUMBER('Assumptions'!$D$64)),G10*'Unit Mix'!$E$10*'Assumptions'!$D$64,"n.a."),"n.a.")</x:f>
        <x:v>84600</x:v>
      </x:c>
      <x:c r="H11" s="51" t="n">
        <x:f>IF(AND('Unit Mix'!N11="OK"),IF(AND(ISNUMBER(H10),ISNUMBER('Unit Mix'!$E$11),ISNUMBER('Assumptions'!$D$64)),H10*'Unit Mix'!$E$11*'Assumptions'!$D$64,"n.a."),"n.a.")</x:f>
        <x:v>84600</x:v>
      </x:c>
      <x:c r="I11" s="51" t="n">
        <x:f>IF(AND('Unit Mix'!N12="OK"),IF(AND(ISNUMBER(I10),ISNUMBER('Unit Mix'!$E$12),ISNUMBER('Assumptions'!$D$64)),I10*'Unit Mix'!$E$12*'Assumptions'!$D$64,"n.a."),"n.a.")</x:f>
        <x:v>84600</x:v>
      </x:c>
      <x:c r="J11" s="51" t="n">
        <x:f>IF(AND('Unit Mix'!N13="OK"),IF(AND(ISNUMBER(J10),ISNUMBER('Unit Mix'!$E$13),ISNUMBER('Assumptions'!$D$64)),J10*'Unit Mix'!$E$13*'Assumptions'!$D$64,"n.a."),"n.a.")</x:f>
        <x:v>84600</x:v>
      </x:c>
      <x:c r="K11" s="51" t="n">
        <x:f>IF(AND('Unit Mix'!N14="OK"),IF(AND(ISNUMBER(K10),ISNUMBER('Unit Mix'!$E$14),ISNUMBER('Assumptions'!$D$64)),K10*'Unit Mix'!$E$14*'Assumptions'!$D$64,"n.a."),"n.a.")</x:f>
        <x:v>84600</x:v>
      </x:c>
      <x:c r="L11" s="51" t="n">
        <x:f>IF(AND('Unit Mix'!N15="OK"),IF(AND(ISNUMBER(L10),ISNUMBER('Unit Mix'!$E$15),ISNUMBER('Assumptions'!$D$64)),L10*'Unit Mix'!$E$15*'Assumptions'!$D$64,"n.a."),"n.a.")</x:f>
        <x:v>84600</x:v>
      </x:c>
      <x:c r="M11" s="51" t="n">
        <x:f>IF(AND('Unit Mix'!N16="OK"),IF(AND(ISNUMBER(M10),ISNUMBER('Unit Mix'!$E$16),ISNUMBER('Assumptions'!$D$64)),M10*'Unit Mix'!$E$16*'Assumptions'!$D$64,"n.a."),"n.a.")</x:f>
        <x:v>84600</x:v>
      </x:c>
      <x:c r="N11" s="51" t="n">
        <x:f>IF(AND('Unit Mix'!N17="OK"),IF(AND(ISNUMBER(N10),ISNUMBER('Unit Mix'!$E$17),ISNUMBER('Assumptions'!$D$64)),N10*'Unit Mix'!$E$17*'Assumptions'!$D$64,"n.a."),"n.a.")</x:f>
        <x:v>84600</x:v>
      </x:c>
      <x:c r="O11" s="51" t="n">
        <x:f>IF(AND('Unit Mix'!N18="OK"),IF(AND(ISNUMBER(O10),ISNUMBER('Unit Mix'!$E$18),ISNUMBER('Assumptions'!$D$64)),O10*'Unit Mix'!$E$18*'Assumptions'!$D$64,"n.a."),"n.a.")</x:f>
        <x:v>84600</x:v>
      </x:c>
      <x:c r="P11" s="51" t="n">
        <x:f>IF(AND('Unit Mix'!N19="OK"),IF(AND(ISNUMBER(P10),ISNUMBER('Unit Mix'!$E$19),ISNUMBER('Assumptions'!$D$64)),P10*'Unit Mix'!$E$19*'Assumptions'!$D$64,"n.a."),"n.a.")</x:f>
        <x:v>84600</x:v>
      </x:c>
      <x:c r="Q11" s="51" t="n">
        <x:f>IF(AND('Unit Mix'!N20="OK"),IF(AND(ISNUMBER(Q10),ISNUMBER('Unit Mix'!$E$20),ISNUMBER('Assumptions'!$D$64)),Q10*'Unit Mix'!$E$20*'Assumptions'!$D$64,"n.a."),"n.a.")</x:f>
        <x:v>84600</x:v>
      </x:c>
      <x:c r="R11" s="51" t="n">
        <x:f>IF(AND('Unit Mix'!N21="OK"),IF(AND(ISNUMBER(R10),ISNUMBER('Unit Mix'!$E$21),ISNUMBER('Assumptions'!$D$64)),R10*'Unit Mix'!$E$21*'Assumptions'!$D$64,"n.a."),"n.a.")</x:f>
        <x:v>84600</x:v>
      </x:c>
    </x:row>
    <x:row r="12" ht="21" customHeight="1">
      <x:c r="A12" s="2"/>
      <x:c r="B12" s="2"/>
      <x:c r="C12" s="2" t="str">
        <x:v>Turn concessions</x:v>
      </x:c>
      <x:c r="D12" s="2" t="str">
        <x:v>USD</x:v>
      </x:c>
      <x:c r="E12" s="52" t="n">
        <x:f>IF(COUNT(G12:R12)=12,SUM(G12:R12),"n.a.")</x:f>
        <x:v>24600</x:v>
      </x:c>
      <x:c r="F12" s="2"/>
      <x:c r="G12" s="51" t="n">
        <x:f>IF(AND('Unit Mix'!N10="OK"),IF(AND(ISNUMBER('Unit Mix'!$G$10),ISNUMBER('Unit Mix'!$H$10)),'Unit Mix'!$G$10*'Unit Mix'!$H$10,"n.a."),"n.a.")</x:f>
        <x:v>1800</x:v>
      </x:c>
      <x:c r="H12" s="51" t="n">
        <x:f>IF(AND('Unit Mix'!N11="OK"),IF(AND(ISNUMBER('Unit Mix'!$G$11),ISNUMBER('Unit Mix'!$H$11)),'Unit Mix'!$G$11*'Unit Mix'!$H$11,"n.a."),"n.a.")</x:f>
        <x:v>1800</x:v>
      </x:c>
      <x:c r="I12" s="51" t="n">
        <x:f>IF(AND('Unit Mix'!N12="OK"),IF(AND(ISNUMBER('Unit Mix'!$G$12),ISNUMBER('Unit Mix'!$H$12)),'Unit Mix'!$G$12*'Unit Mix'!$H$12,"n.a."),"n.a.")</x:f>
        <x:v>1800</x:v>
      </x:c>
      <x:c r="J12" s="51" t="n">
        <x:f>IF(AND('Unit Mix'!N13="OK"),IF(AND(ISNUMBER('Unit Mix'!$G$13),ISNUMBER('Unit Mix'!$H$13)),'Unit Mix'!$G$13*'Unit Mix'!$H$13,"n.a."),"n.a.")</x:f>
        <x:v>1800</x:v>
      </x:c>
      <x:c r="K12" s="51" t="n">
        <x:f>IF(AND('Unit Mix'!N14="OK"),IF(AND(ISNUMBER('Unit Mix'!$G$14),ISNUMBER('Unit Mix'!$H$14)),'Unit Mix'!$G$14*'Unit Mix'!$H$14,"n.a."),"n.a.")</x:f>
        <x:v>1800</x:v>
      </x:c>
      <x:c r="L12" s="51" t="n">
        <x:f>IF(AND('Unit Mix'!N15="OK"),IF(AND(ISNUMBER('Unit Mix'!$G$15),ISNUMBER('Unit Mix'!$H$15)),'Unit Mix'!$G$15*'Unit Mix'!$H$15,"n.a."),"n.a.")</x:f>
        <x:v>1800</x:v>
      </x:c>
      <x:c r="M12" s="51" t="n">
        <x:f>IF(AND('Unit Mix'!N16="OK"),IF(AND(ISNUMBER('Unit Mix'!$G$16),ISNUMBER('Unit Mix'!$H$16)),'Unit Mix'!$G$16*'Unit Mix'!$H$16,"n.a."),"n.a.")</x:f>
        <x:v>4800</x:v>
      </x:c>
      <x:c r="N12" s="51" t="n">
        <x:f>IF(AND('Unit Mix'!N17="OK"),IF(AND(ISNUMBER('Unit Mix'!$G$17),ISNUMBER('Unit Mix'!$H$17)),'Unit Mix'!$G$17*'Unit Mix'!$H$17,"n.a."),"n.a.")</x:f>
        <x:v>1800</x:v>
      </x:c>
      <x:c r="O12" s="51" t="n">
        <x:f>IF(AND('Unit Mix'!N18="OK"),IF(AND(ISNUMBER('Unit Mix'!$G$18),ISNUMBER('Unit Mix'!$H$18)),'Unit Mix'!$G$18*'Unit Mix'!$H$18,"n.a."),"n.a.")</x:f>
        <x:v>1800</x:v>
      </x:c>
      <x:c r="P12" s="51" t="n">
        <x:f>IF(AND('Unit Mix'!N19="OK"),IF(AND(ISNUMBER('Unit Mix'!$G$19),ISNUMBER('Unit Mix'!$H$19)),'Unit Mix'!$G$19*'Unit Mix'!$H$19,"n.a."),"n.a.")</x:f>
        <x:v>1800</x:v>
      </x:c>
      <x:c r="Q12" s="51" t="n">
        <x:f>IF(AND('Unit Mix'!N20="OK"),IF(AND(ISNUMBER('Unit Mix'!$G$20),ISNUMBER('Unit Mix'!$H$20)),'Unit Mix'!$G$20*'Unit Mix'!$H$20,"n.a."),"n.a.")</x:f>
        <x:v>1800</x:v>
      </x:c>
      <x:c r="R12" s="51" t="n">
        <x:f>IF(AND('Unit Mix'!N21="OK"),IF(AND(ISNUMBER('Unit Mix'!$G$21),ISNUMBER('Unit Mix'!$H$21)),'Unit Mix'!$G$21*'Unit Mix'!$H$21,"n.a."),"n.a.")</x:f>
        <x:v>1800</x:v>
      </x:c>
    </x:row>
    <x:row r="13" ht="21" customHeight="1">
      <x:c r="A13" s="2"/>
      <x:c r="B13" s="2"/>
      <x:c r="C13" s="57" t="str">
        <x:v>Rent after concessions plus other</x:v>
      </x:c>
      <x:c r="D13" s="57" t="str">
        <x:v>USD</x:v>
      </x:c>
      <x:c r="E13" s="58" t="n">
        <x:f>IF(COUNT(G13:R13)=12,SUM(G13:R13),"n.a.")</x:f>
        <x:v>1027824</x:v>
      </x:c>
      <x:c r="F13" s="57"/>
      <x:c r="G13" s="59" t="n">
        <x:f>IF(AND('Unit Mix'!N10="OK"),IF(AND(ISNUMBER(G11),ISNUMBER(G12),ISNUMBER(G10),ISNUMBER('Unit Mix'!$I$10)),G11-G12+G10*'Unit Mix'!$I$10,"n.a."),"n.a.")</x:f>
        <x:v>85902</x:v>
      </x:c>
      <x:c r="H13" s="59" t="n">
        <x:f>IF(AND('Unit Mix'!N11="OK"),IF(AND(ISNUMBER(H11),ISNUMBER(H12),ISNUMBER(H10),ISNUMBER('Unit Mix'!$I$11)),H11-H12+H10*'Unit Mix'!$I$11,"n.a."),"n.a.")</x:f>
        <x:v>85902</x:v>
      </x:c>
      <x:c r="I13" s="59" t="n">
        <x:f>IF(AND('Unit Mix'!N12="OK"),IF(AND(ISNUMBER(I11),ISNUMBER(I12),ISNUMBER(I10),ISNUMBER('Unit Mix'!$I$12)),I11-I12+I10*'Unit Mix'!$I$12,"n.a."),"n.a.")</x:f>
        <x:v>85902</x:v>
      </x:c>
      <x:c r="J13" s="59" t="n">
        <x:f>IF(AND('Unit Mix'!N13="OK"),IF(AND(ISNUMBER(J11),ISNUMBER(J12),ISNUMBER(J10),ISNUMBER('Unit Mix'!$I$13)),J11-J12+J10*'Unit Mix'!$I$13,"n.a."),"n.a.")</x:f>
        <x:v>85902</x:v>
      </x:c>
      <x:c r="K13" s="59" t="n">
        <x:f>IF(AND('Unit Mix'!N14="OK"),IF(AND(ISNUMBER(K11),ISNUMBER(K12),ISNUMBER(K10),ISNUMBER('Unit Mix'!$I$14)),K11-K12+K10*'Unit Mix'!$I$14,"n.a."),"n.a.")</x:f>
        <x:v>85902</x:v>
      </x:c>
      <x:c r="L13" s="59" t="n">
        <x:f>IF(AND('Unit Mix'!N15="OK"),IF(AND(ISNUMBER(L11),ISNUMBER(L12),ISNUMBER(L10),ISNUMBER('Unit Mix'!$I$15)),L11-L12+L10*'Unit Mix'!$I$15,"n.a."),"n.a.")</x:f>
        <x:v>85902</x:v>
      </x:c>
      <x:c r="M13" s="59" t="n">
        <x:f>IF(AND('Unit Mix'!N16="OK"),IF(AND(ISNUMBER(M11),ISNUMBER(M12),ISNUMBER(M10),ISNUMBER('Unit Mix'!$I$16)),M11-M12+M10*'Unit Mix'!$I$16,"n.a."),"n.a.")</x:f>
        <x:v>82902</x:v>
      </x:c>
      <x:c r="N13" s="59" t="n">
        <x:f>IF(AND('Unit Mix'!N17="OK"),IF(AND(ISNUMBER(N11),ISNUMBER(N12),ISNUMBER(N10),ISNUMBER('Unit Mix'!$I$17)),N11-N12+N10*'Unit Mix'!$I$17,"n.a."),"n.a.")</x:f>
        <x:v>85902</x:v>
      </x:c>
      <x:c r="O13" s="59" t="n">
        <x:f>IF(AND('Unit Mix'!N18="OK"),IF(AND(ISNUMBER(O11),ISNUMBER(O12),ISNUMBER(O10),ISNUMBER('Unit Mix'!$I$18)),O11-O12+O10*'Unit Mix'!$I$18,"n.a."),"n.a.")</x:f>
        <x:v>85902</x:v>
      </x:c>
      <x:c r="P13" s="59" t="n">
        <x:f>IF(AND('Unit Mix'!N19="OK"),IF(AND(ISNUMBER(P11),ISNUMBER(P12),ISNUMBER(P10),ISNUMBER('Unit Mix'!$I$19)),P11-P12+P10*'Unit Mix'!$I$19,"n.a."),"n.a.")</x:f>
        <x:v>85902</x:v>
      </x:c>
      <x:c r="Q13" s="59" t="n">
        <x:f>IF(AND('Unit Mix'!N20="OK"),IF(AND(ISNUMBER(Q11),ISNUMBER(Q12),ISNUMBER(Q10),ISNUMBER('Unit Mix'!$I$20)),Q11-Q12+Q10*'Unit Mix'!$I$20,"n.a."),"n.a.")</x:f>
        <x:v>85902</x:v>
      </x:c>
      <x:c r="R13" s="59" t="n">
        <x:f>IF(AND('Unit Mix'!N21="OK"),IF(AND(ISNUMBER(R11),ISNUMBER(R12),ISNUMBER(R10),ISNUMBER('Unit Mix'!$I$21)),R11-R12+R10*'Unit Mix'!$I$21,"n.a."),"n.a.")</x:f>
        <x:v>85902</x:v>
      </x:c>
    </x:row>
    <x:row r="14" ht="21" customHeight="1">
      <x:c r="A14" s="2"/>
      <x:c r="B14" s="2"/>
      <x:c r="C14" s="2" t="str">
        <x:v>Occupied-unit repairs</x:v>
      </x:c>
      <x:c r="D14" s="2" t="str">
        <x:v>USD</x:v>
      </x:c>
      <x:c r="E14" s="52" t="n">
        <x:f>IF(COUNT(G14:R14)=12,SUM(G14:R14),"n.a.")</x:f>
        <x:v>64296</x:v>
      </x:c>
      <x:c r="F14" s="2"/>
      <x:c r="G14" s="51" t="n">
        <x:f>IF(AND('Unit Mix'!N10="OK"),IF(AND(ISNUMBER(G10),ISNUMBER('Unit Mix'!$J$10),ISNUMBER('Assumptions'!$D$67)),G10*'Unit Mix'!$J$10*'Assumptions'!$D$67,"n.a."),"n.a.")</x:f>
        <x:v>5358</x:v>
      </x:c>
      <x:c r="H14" s="51" t="n">
        <x:f>IF(AND('Unit Mix'!N11="OK"),IF(AND(ISNUMBER(H10),ISNUMBER('Unit Mix'!$J$11),ISNUMBER('Assumptions'!$D$67)),H10*'Unit Mix'!$J$11*'Assumptions'!$D$67,"n.a."),"n.a.")</x:f>
        <x:v>5358</x:v>
      </x:c>
      <x:c r="I14" s="51" t="n">
        <x:f>IF(AND('Unit Mix'!N12="OK"),IF(AND(ISNUMBER(I10),ISNUMBER('Unit Mix'!$J$12),ISNUMBER('Assumptions'!$D$67)),I10*'Unit Mix'!$J$12*'Assumptions'!$D$67,"n.a."),"n.a.")</x:f>
        <x:v>5358</x:v>
      </x:c>
      <x:c r="J14" s="51" t="n">
        <x:f>IF(AND('Unit Mix'!N13="OK"),IF(AND(ISNUMBER(J10),ISNUMBER('Unit Mix'!$J$13),ISNUMBER('Assumptions'!$D$67)),J10*'Unit Mix'!$J$13*'Assumptions'!$D$67,"n.a."),"n.a.")</x:f>
        <x:v>5358</x:v>
      </x:c>
      <x:c r="K14" s="51" t="n">
        <x:f>IF(AND('Unit Mix'!N14="OK"),IF(AND(ISNUMBER(K10),ISNUMBER('Unit Mix'!$J$14),ISNUMBER('Assumptions'!$D$67)),K10*'Unit Mix'!$J$14*'Assumptions'!$D$67,"n.a."),"n.a.")</x:f>
        <x:v>5358</x:v>
      </x:c>
      <x:c r="L14" s="51" t="n">
        <x:f>IF(AND('Unit Mix'!N15="OK"),IF(AND(ISNUMBER(L10),ISNUMBER('Unit Mix'!$J$15),ISNUMBER('Assumptions'!$D$67)),L10*'Unit Mix'!$J$15*'Assumptions'!$D$67,"n.a."),"n.a.")</x:f>
        <x:v>5358</x:v>
      </x:c>
      <x:c r="M14" s="51" t="n">
        <x:f>IF(AND('Unit Mix'!N16="OK"),IF(AND(ISNUMBER(M10),ISNUMBER('Unit Mix'!$J$16),ISNUMBER('Assumptions'!$D$67)),M10*'Unit Mix'!$J$16*'Assumptions'!$D$67,"n.a."),"n.a.")</x:f>
        <x:v>5358</x:v>
      </x:c>
      <x:c r="N14" s="51" t="n">
        <x:f>IF(AND('Unit Mix'!N17="OK"),IF(AND(ISNUMBER(N10),ISNUMBER('Unit Mix'!$J$17),ISNUMBER('Assumptions'!$D$67)),N10*'Unit Mix'!$J$17*'Assumptions'!$D$67,"n.a."),"n.a.")</x:f>
        <x:v>5358</x:v>
      </x:c>
      <x:c r="O14" s="51" t="n">
        <x:f>IF(AND('Unit Mix'!N18="OK"),IF(AND(ISNUMBER(O10),ISNUMBER('Unit Mix'!$J$18),ISNUMBER('Assumptions'!$D$67)),O10*'Unit Mix'!$J$18*'Assumptions'!$D$67,"n.a."),"n.a.")</x:f>
        <x:v>5358</x:v>
      </x:c>
      <x:c r="P14" s="51" t="n">
        <x:f>IF(AND('Unit Mix'!N19="OK"),IF(AND(ISNUMBER(P10),ISNUMBER('Unit Mix'!$J$19),ISNUMBER('Assumptions'!$D$67)),P10*'Unit Mix'!$J$19*'Assumptions'!$D$67,"n.a."),"n.a.")</x:f>
        <x:v>5358</x:v>
      </x:c>
      <x:c r="Q14" s="51" t="n">
        <x:f>IF(AND('Unit Mix'!N20="OK"),IF(AND(ISNUMBER(Q10),ISNUMBER('Unit Mix'!$J$20),ISNUMBER('Assumptions'!$D$67)),Q10*'Unit Mix'!$J$20*'Assumptions'!$D$67,"n.a."),"n.a.")</x:f>
        <x:v>5358</x:v>
      </x:c>
      <x:c r="R14" s="51" t="n">
        <x:f>IF(AND('Unit Mix'!N21="OK"),IF(AND(ISNUMBER(R10),ISNUMBER('Unit Mix'!$J$21),ISNUMBER('Assumptions'!$D$67)),R10*'Unit Mix'!$J$21*'Assumptions'!$D$67,"n.a."),"n.a.")</x:f>
        <x:v>5358</x:v>
      </x:c>
    </x:row>
    <x:row r="15" ht="21" customHeight="1">
      <x:c r="A15" s="2"/>
      <x:c r="B15" s="2"/>
      <x:c r="C15" s="2" t="str">
        <x:v>Turn capital</x:v>
      </x:c>
      <x:c r="D15" s="2" t="str">
        <x:v>USD</x:v>
      </x:c>
      <x:c r="E15" s="52" t="n">
        <x:f>IF(COUNT(G15:R15)=12,SUM(G15:R15),"n.a.")</x:f>
        <x:v>49200</x:v>
      </x:c>
      <x:c r="F15" s="2"/>
      <x:c r="G15" s="51" t="n">
        <x:f>IF(AND('Unit Mix'!N10="OK"),IF(AND(ISNUMBER('Unit Mix'!$G$10),ISNUMBER('Unit Mix'!$K$10),ISNUMBER('Assumptions'!$D$70)),'Unit Mix'!$G$10*'Unit Mix'!$K$10*'Assumptions'!$D$70,"n.a."),"n.a.")</x:f>
        <x:v>3600</x:v>
      </x:c>
      <x:c r="H15" s="51" t="n">
        <x:f>IF(AND('Unit Mix'!N11="OK"),IF(AND(ISNUMBER('Unit Mix'!$G$11),ISNUMBER('Unit Mix'!$K$11),ISNUMBER('Assumptions'!$D$70)),'Unit Mix'!$G$11*'Unit Mix'!$K$11*'Assumptions'!$D$70,"n.a."),"n.a.")</x:f>
        <x:v>3600</x:v>
      </x:c>
      <x:c r="I15" s="51" t="n">
        <x:f>IF(AND('Unit Mix'!N12="OK"),IF(AND(ISNUMBER('Unit Mix'!$G$12),ISNUMBER('Unit Mix'!$K$12),ISNUMBER('Assumptions'!$D$70)),'Unit Mix'!$G$12*'Unit Mix'!$K$12*'Assumptions'!$D$70,"n.a."),"n.a.")</x:f>
        <x:v>3600</x:v>
      </x:c>
      <x:c r="J15" s="51" t="n">
        <x:f>IF(AND('Unit Mix'!N13="OK"),IF(AND(ISNUMBER('Unit Mix'!$G$13),ISNUMBER('Unit Mix'!$K$13),ISNUMBER('Assumptions'!$D$70)),'Unit Mix'!$G$13*'Unit Mix'!$K$13*'Assumptions'!$D$70,"n.a."),"n.a.")</x:f>
        <x:v>3600</x:v>
      </x:c>
      <x:c r="K15" s="51" t="n">
        <x:f>IF(AND('Unit Mix'!N14="OK"),IF(AND(ISNUMBER('Unit Mix'!$G$14),ISNUMBER('Unit Mix'!$K$14),ISNUMBER('Assumptions'!$D$70)),'Unit Mix'!$G$14*'Unit Mix'!$K$14*'Assumptions'!$D$70,"n.a."),"n.a.")</x:f>
        <x:v>3600</x:v>
      </x:c>
      <x:c r="L15" s="51" t="n">
        <x:f>IF(AND('Unit Mix'!N15="OK"),IF(AND(ISNUMBER('Unit Mix'!$G$15),ISNUMBER('Unit Mix'!$K$15),ISNUMBER('Assumptions'!$D$70)),'Unit Mix'!$G$15*'Unit Mix'!$K$15*'Assumptions'!$D$70,"n.a."),"n.a.")</x:f>
        <x:v>3600</x:v>
      </x:c>
      <x:c r="M15" s="51" t="n">
        <x:f>IF(AND('Unit Mix'!N16="OK"),IF(AND(ISNUMBER('Unit Mix'!$G$16),ISNUMBER('Unit Mix'!$K$16),ISNUMBER('Assumptions'!$D$70)),'Unit Mix'!$G$16*'Unit Mix'!$K$16*'Assumptions'!$D$70,"n.a."),"n.a.")</x:f>
        <x:v>9600</x:v>
      </x:c>
      <x:c r="N15" s="51" t="n">
        <x:f>IF(AND('Unit Mix'!N17="OK"),IF(AND(ISNUMBER('Unit Mix'!$G$17),ISNUMBER('Unit Mix'!$K$17),ISNUMBER('Assumptions'!$D$70)),'Unit Mix'!$G$17*'Unit Mix'!$K$17*'Assumptions'!$D$70,"n.a."),"n.a.")</x:f>
        <x:v>3600</x:v>
      </x:c>
      <x:c r="O15" s="51" t="n">
        <x:f>IF(AND('Unit Mix'!N18="OK"),IF(AND(ISNUMBER('Unit Mix'!$G$18),ISNUMBER('Unit Mix'!$K$18),ISNUMBER('Assumptions'!$D$70)),'Unit Mix'!$G$18*'Unit Mix'!$K$18*'Assumptions'!$D$70,"n.a."),"n.a.")</x:f>
        <x:v>3600</x:v>
      </x:c>
      <x:c r="P15" s="51" t="n">
        <x:f>IF(AND('Unit Mix'!N19="OK"),IF(AND(ISNUMBER('Unit Mix'!$G$19),ISNUMBER('Unit Mix'!$K$19),ISNUMBER('Assumptions'!$D$70)),'Unit Mix'!$G$19*'Unit Mix'!$K$19*'Assumptions'!$D$70,"n.a."),"n.a.")</x:f>
        <x:v>3600</x:v>
      </x:c>
      <x:c r="Q15" s="51" t="n">
        <x:f>IF(AND('Unit Mix'!N20="OK"),IF(AND(ISNUMBER('Unit Mix'!$G$20),ISNUMBER('Unit Mix'!$K$20),ISNUMBER('Assumptions'!$D$70)),'Unit Mix'!$G$20*'Unit Mix'!$K$20*'Assumptions'!$D$70,"n.a."),"n.a.")</x:f>
        <x:v>3600</x:v>
      </x:c>
      <x:c r="R15" s="51" t="n">
        <x:f>IF(AND('Unit Mix'!N21="OK"),IF(AND(ISNUMBER('Unit Mix'!$G$21),ISNUMBER('Unit Mix'!$K$21),ISNUMBER('Assumptions'!$D$70)),'Unit Mix'!$G$21*'Unit Mix'!$K$21*'Assumptions'!$D$70,"n.a."),"n.a.")</x:f>
        <x:v>3600</x:v>
      </x:c>
    </x:row>
    <x:row r="16" ht="21" customHeight="1">
      <x:c r="A16" s="2"/>
      <x:c r="B16" s="2"/>
      <x:c r="C16" s="2" t="str">
        <x:v>Fixed property / entity costs</x:v>
      </x:c>
      <x:c r="D16" s="2" t="str">
        <x:v>USD</x:v>
      </x:c>
      <x:c r="E16" s="52" t="n">
        <x:f>IF(COUNT(G16:R16)=12,SUM(G16:R16),"n.a.")</x:f>
        <x:v>180000</x:v>
      </x:c>
      <x:c r="F16" s="2"/>
      <x:c r="G16" s="51" t="n">
        <x:f>IF(AND(ISNUMBER('Assumptions'!$D$55)),'Assumptions'!$D$55/12,"n.a.")</x:f>
        <x:v>15000</x:v>
      </x:c>
      <x:c r="H16" s="51" t="n">
        <x:f>IF(AND(ISNUMBER('Assumptions'!$D$55)),'Assumptions'!$D$55/12,"n.a.")</x:f>
        <x:v>15000</x:v>
      </x:c>
      <x:c r="I16" s="51" t="n">
        <x:f>IF(AND(ISNUMBER('Assumptions'!$D$55)),'Assumptions'!$D$55/12,"n.a.")</x:f>
        <x:v>15000</x:v>
      </x:c>
      <x:c r="J16" s="51" t="n">
        <x:f>IF(AND(ISNUMBER('Assumptions'!$D$55)),'Assumptions'!$D$55/12,"n.a.")</x:f>
        <x:v>15000</x:v>
      </x:c>
      <x:c r="K16" s="51" t="n">
        <x:f>IF(AND(ISNUMBER('Assumptions'!$D$55)),'Assumptions'!$D$55/12,"n.a.")</x:f>
        <x:v>15000</x:v>
      </x:c>
      <x:c r="L16" s="51" t="n">
        <x:f>IF(AND(ISNUMBER('Assumptions'!$D$55)),'Assumptions'!$D$55/12,"n.a.")</x:f>
        <x:v>15000</x:v>
      </x:c>
      <x:c r="M16" s="51" t="n">
        <x:f>IF(AND(ISNUMBER('Assumptions'!$D$55)),'Assumptions'!$D$55/12,"n.a.")</x:f>
        <x:v>15000</x:v>
      </x:c>
      <x:c r="N16" s="51" t="n">
        <x:f>IF(AND(ISNUMBER('Assumptions'!$D$55)),'Assumptions'!$D$55/12,"n.a.")</x:f>
        <x:v>15000</x:v>
      </x:c>
      <x:c r="O16" s="51" t="n">
        <x:f>IF(AND(ISNUMBER('Assumptions'!$D$55)),'Assumptions'!$D$55/12,"n.a.")</x:f>
        <x:v>15000</x:v>
      </x:c>
      <x:c r="P16" s="51" t="n">
        <x:f>IF(AND(ISNUMBER('Assumptions'!$D$55)),'Assumptions'!$D$55/12,"n.a.")</x:f>
        <x:v>15000</x:v>
      </x:c>
      <x:c r="Q16" s="51" t="n">
        <x:f>IF(AND(ISNUMBER('Assumptions'!$D$55)),'Assumptions'!$D$55/12,"n.a.")</x:f>
        <x:v>15000</x:v>
      </x:c>
      <x:c r="R16" s="51" t="n">
        <x:f>IF(AND(ISNUMBER('Assumptions'!$D$55)),'Assumptions'!$D$55/12,"n.a.")</x:f>
        <x:v>15000</x:v>
      </x:c>
    </x:row>
    <x:row r="17" ht="21" customHeight="1">
      <x:c r="A17" s="2"/>
      <x:c r="B17" s="2"/>
      <x:c r="C17" s="57" t="str">
        <x:v>Total cash operating costs</x:v>
      </x:c>
      <x:c r="D17" s="57" t="str">
        <x:v>USD</x:v>
      </x:c>
      <x:c r="E17" s="58" t="n">
        <x:f>IF(COUNT(G17:R17)=12,SUM(G17:R17),"n.a.")</x:f>
        <x:v>244296</x:v>
      </x:c>
      <x:c r="F17" s="57"/>
      <x:c r="G17" s="58" t="n">
        <x:f>IF(AND(ISNUMBER(G14),ISNUMBER(G16)),G14+G16,"n.a.")</x:f>
        <x:v>20358</x:v>
      </x:c>
      <x:c r="H17" s="58" t="n">
        <x:f>IF(AND(ISNUMBER(H14),ISNUMBER(H16)),H14+H16,"n.a.")</x:f>
        <x:v>20358</x:v>
      </x:c>
      <x:c r="I17" s="58" t="n">
        <x:f>IF(AND(ISNUMBER(I14),ISNUMBER(I16)),I14+I16,"n.a.")</x:f>
        <x:v>20358</x:v>
      </x:c>
      <x:c r="J17" s="58" t="n">
        <x:f>IF(AND(ISNUMBER(J14),ISNUMBER(J16)),J14+J16,"n.a.")</x:f>
        <x:v>20358</x:v>
      </x:c>
      <x:c r="K17" s="58" t="n">
        <x:f>IF(AND(ISNUMBER(K14),ISNUMBER(K16)),K14+K16,"n.a.")</x:f>
        <x:v>20358</x:v>
      </x:c>
      <x:c r="L17" s="58" t="n">
        <x:f>IF(AND(ISNUMBER(L14),ISNUMBER(L16)),L14+L16,"n.a.")</x:f>
        <x:v>20358</x:v>
      </x:c>
      <x:c r="M17" s="58" t="n">
        <x:f>IF(AND(ISNUMBER(M14),ISNUMBER(M16)),M14+M16,"n.a.")</x:f>
        <x:v>20358</x:v>
      </x:c>
      <x:c r="N17" s="58" t="n">
        <x:f>IF(AND(ISNUMBER(N14),ISNUMBER(N16)),N14+N16,"n.a.")</x:f>
        <x:v>20358</x:v>
      </x:c>
      <x:c r="O17" s="58" t="n">
        <x:f>IF(AND(ISNUMBER(O14),ISNUMBER(O16)),O14+O16,"n.a.")</x:f>
        <x:v>20358</x:v>
      </x:c>
      <x:c r="P17" s="58" t="n">
        <x:f>IF(AND(ISNUMBER(P14),ISNUMBER(P16)),P14+P16,"n.a.")</x:f>
        <x:v>20358</x:v>
      </x:c>
      <x:c r="Q17" s="58" t="n">
        <x:f>IF(AND(ISNUMBER(Q14),ISNUMBER(Q16)),Q14+Q16,"n.a.")</x:f>
        <x:v>20358</x:v>
      </x:c>
      <x:c r="R17" s="58" t="n">
        <x:f>IF(AND(ISNUMBER(R14),ISNUMBER(R16)),R14+R16,"n.a.")</x:f>
        <x:v>20358</x:v>
      </x:c>
    </x:row>
    <x:row r="18" ht="21" customHeight="1">
      <x:c r="A18" s="2"/>
      <x:c r="B18" s="2"/>
      <x:c r="C18" s="57" t="str">
        <x:v>NOI / operating cash before reserves</x:v>
      </x:c>
      <x:c r="D18" s="57" t="str">
        <x:v>USD</x:v>
      </x:c>
      <x:c r="E18" s="58" t="n">
        <x:f>IF(COUNT(G18:R18)=12,SUM(G18:R18),"n.a.")</x:f>
        <x:v>783528</x:v>
      </x:c>
      <x:c r="F18" s="57"/>
      <x:c r="G18" s="58" t="n">
        <x:f>IF(AND(ISNUMBER(G13),ISNUMBER(G17)),G13-G17,"n.a.")</x:f>
        <x:v>65544</x:v>
      </x:c>
      <x:c r="H18" s="58" t="n">
        <x:f>IF(AND(ISNUMBER(H13),ISNUMBER(H17)),H13-H17,"n.a.")</x:f>
        <x:v>65544</x:v>
      </x:c>
      <x:c r="I18" s="58" t="n">
        <x:f>IF(AND(ISNUMBER(I13),ISNUMBER(I17)),I13-I17,"n.a.")</x:f>
        <x:v>65544</x:v>
      </x:c>
      <x:c r="J18" s="58" t="n">
        <x:f>IF(AND(ISNUMBER(J13),ISNUMBER(J17)),J13-J17,"n.a.")</x:f>
        <x:v>65544</x:v>
      </x:c>
      <x:c r="K18" s="58" t="n">
        <x:f>IF(AND(ISNUMBER(K13),ISNUMBER(K17)),K13-K17,"n.a.")</x:f>
        <x:v>65544</x:v>
      </x:c>
      <x:c r="L18" s="58" t="n">
        <x:f>IF(AND(ISNUMBER(L13),ISNUMBER(L17)),L13-L17,"n.a.")</x:f>
        <x:v>65544</x:v>
      </x:c>
      <x:c r="M18" s="58" t="n">
        <x:f>IF(AND(ISNUMBER(M13),ISNUMBER(M17)),M13-M17,"n.a.")</x:f>
        <x:v>62544</x:v>
      </x:c>
      <x:c r="N18" s="58" t="n">
        <x:f>IF(AND(ISNUMBER(N13),ISNUMBER(N17)),N13-N17,"n.a.")</x:f>
        <x:v>65544</x:v>
      </x:c>
      <x:c r="O18" s="58" t="n">
        <x:f>IF(AND(ISNUMBER(O13),ISNUMBER(O17)),O13-O17,"n.a.")</x:f>
        <x:v>65544</x:v>
      </x:c>
      <x:c r="P18" s="58" t="n">
        <x:f>IF(AND(ISNUMBER(P13),ISNUMBER(P17)),P13-P17,"n.a.")</x:f>
        <x:v>65544</x:v>
      </x:c>
      <x:c r="Q18" s="58" t="n">
        <x:f>IF(AND(ISNUMBER(Q13),ISNUMBER(Q17)),Q13-Q17,"n.a.")</x:f>
        <x:v>65544</x:v>
      </x:c>
      <x:c r="R18" s="58" t="n">
        <x:f>IF(AND(ISNUMBER(R13),ISNUMBER(R17)),R13-R17,"n.a.")</x:f>
        <x:v>65544</x:v>
      </x:c>
    </x:row>
    <x:row r="19" ht="21" customHeight="1">
      <x:c r="A19" s="2"/>
      <x:c r="B19" s="2"/>
      <x:c r="C19" s="2" t="str">
        <x:v>Cash replacement reserve deposits</x:v>
      </x:c>
      <x:c r="D19" s="2" t="str">
        <x:v>USD</x:v>
      </x:c>
      <x:c r="E19" s="52" t="n">
        <x:f>IF(COUNT(G19:R19)=12,SUM(G19:R19),"n.a.")</x:f>
        <x:v>30834.720000000005</x:v>
      </x:c>
      <x:c r="F19" s="2"/>
      <x:c r="G19" s="51" t="n">
        <x:f>IF(AND(ISNUMBER(G13),ISNUMBER('Assumptions'!$D$58)),MAX(0,G13)*'Assumptions'!$D$58,"n.a.")</x:f>
        <x:v>2577.06</x:v>
      </x:c>
      <x:c r="H19" s="51" t="n">
        <x:f>IF(AND(ISNUMBER(H13),ISNUMBER('Assumptions'!$D$58)),MAX(0,H13)*'Assumptions'!$D$58,"n.a.")</x:f>
        <x:v>2577.06</x:v>
      </x:c>
      <x:c r="I19" s="51" t="n">
        <x:f>IF(AND(ISNUMBER(I13),ISNUMBER('Assumptions'!$D$58)),MAX(0,I13)*'Assumptions'!$D$58,"n.a.")</x:f>
        <x:v>2577.06</x:v>
      </x:c>
      <x:c r="J19" s="51" t="n">
        <x:f>IF(AND(ISNUMBER(J13),ISNUMBER('Assumptions'!$D$58)),MAX(0,J13)*'Assumptions'!$D$58,"n.a.")</x:f>
        <x:v>2577.06</x:v>
      </x:c>
      <x:c r="K19" s="51" t="n">
        <x:f>IF(AND(ISNUMBER(K13),ISNUMBER('Assumptions'!$D$58)),MAX(0,K13)*'Assumptions'!$D$58,"n.a.")</x:f>
        <x:v>2577.06</x:v>
      </x:c>
      <x:c r="L19" s="51" t="n">
        <x:f>IF(AND(ISNUMBER(L13),ISNUMBER('Assumptions'!$D$58)),MAX(0,L13)*'Assumptions'!$D$58,"n.a.")</x:f>
        <x:v>2577.06</x:v>
      </x:c>
      <x:c r="M19" s="51" t="n">
        <x:f>IF(AND(ISNUMBER(M13),ISNUMBER('Assumptions'!$D$58)),MAX(0,M13)*'Assumptions'!$D$58,"n.a.")</x:f>
        <x:v>2487.06</x:v>
      </x:c>
      <x:c r="N19" s="51" t="n">
        <x:f>IF(AND(ISNUMBER(N13),ISNUMBER('Assumptions'!$D$58)),MAX(0,N13)*'Assumptions'!$D$58,"n.a.")</x:f>
        <x:v>2577.06</x:v>
      </x:c>
      <x:c r="O19" s="51" t="n">
        <x:f>IF(AND(ISNUMBER(O13),ISNUMBER('Assumptions'!$D$58)),MAX(0,O13)*'Assumptions'!$D$58,"n.a.")</x:f>
        <x:v>2577.06</x:v>
      </x:c>
      <x:c r="P19" s="51" t="n">
        <x:f>IF(AND(ISNUMBER(P13),ISNUMBER('Assumptions'!$D$58)),MAX(0,P13)*'Assumptions'!$D$58,"n.a.")</x:f>
        <x:v>2577.06</x:v>
      </x:c>
      <x:c r="Q19" s="51" t="n">
        <x:f>IF(AND(ISNUMBER(Q13),ISNUMBER('Assumptions'!$D$58)),MAX(0,Q13)*'Assumptions'!$D$58,"n.a.")</x:f>
        <x:v>2577.06</x:v>
      </x:c>
      <x:c r="R19" s="51" t="n">
        <x:f>IF(AND(ISNUMBER(R13),ISNUMBER('Assumptions'!$D$58)),MAX(0,R13)*'Assumptions'!$D$58,"n.a.")</x:f>
        <x:v>2577.06</x:v>
      </x:c>
    </x:row>
    <x:row r="20" ht="21" customHeight="1">
      <x:c r="A20" s="2"/>
      <x:c r="B20" s="2"/>
      <x:c r="C20" s="57" t="str">
        <x:v>Cash NCF before property debt / capital</x:v>
      </x:c>
      <x:c r="D20" s="57" t="str">
        <x:v>USD</x:v>
      </x:c>
      <x:c r="E20" s="58" t="n">
        <x:f>IF(COUNT(G20:R20)=12,SUM(G20:R20),"n.a.")</x:f>
        <x:v>752693.2799999998</x:v>
      </x:c>
      <x:c r="F20" s="57"/>
      <x:c r="G20" s="58" t="n">
        <x:f>IF(AND(ISNUMBER(G18),ISNUMBER(G19)),G18-G19,"n.a.")</x:f>
        <x:v>62966.94</x:v>
      </x:c>
      <x:c r="H20" s="58" t="n">
        <x:f>IF(AND(ISNUMBER(H18),ISNUMBER(H19)),H18-H19,"n.a.")</x:f>
        <x:v>62966.94</x:v>
      </x:c>
      <x:c r="I20" s="58" t="n">
        <x:f>IF(AND(ISNUMBER(I18),ISNUMBER(I19)),I18-I19,"n.a.")</x:f>
        <x:v>62966.94</x:v>
      </x:c>
      <x:c r="J20" s="58" t="n">
        <x:f>IF(AND(ISNUMBER(J18),ISNUMBER(J19)),J18-J19,"n.a.")</x:f>
        <x:v>62966.94</x:v>
      </x:c>
      <x:c r="K20" s="58" t="n">
        <x:f>IF(AND(ISNUMBER(K18),ISNUMBER(K19)),K18-K19,"n.a.")</x:f>
        <x:v>62966.94</x:v>
      </x:c>
      <x:c r="L20" s="58" t="n">
        <x:f>IF(AND(ISNUMBER(L18),ISNUMBER(L19)),L18-L19,"n.a.")</x:f>
        <x:v>62966.94</x:v>
      </x:c>
      <x:c r="M20" s="58" t="n">
        <x:f>IF(AND(ISNUMBER(M18),ISNUMBER(M19)),M18-M19,"n.a.")</x:f>
        <x:v>60056.94</x:v>
      </x:c>
      <x:c r="N20" s="58" t="n">
        <x:f>IF(AND(ISNUMBER(N18),ISNUMBER(N19)),N18-N19,"n.a.")</x:f>
        <x:v>62966.94</x:v>
      </x:c>
      <x:c r="O20" s="58" t="n">
        <x:f>IF(AND(ISNUMBER(O18),ISNUMBER(O19)),O18-O19,"n.a.")</x:f>
        <x:v>62966.94</x:v>
      </x:c>
      <x:c r="P20" s="58" t="n">
        <x:f>IF(AND(ISNUMBER(P18),ISNUMBER(P19)),P18-P19,"n.a.")</x:f>
        <x:v>62966.94</x:v>
      </x:c>
      <x:c r="Q20" s="58" t="n">
        <x:f>IF(AND(ISNUMBER(Q18),ISNUMBER(Q19)),Q18-Q19,"n.a.")</x:f>
        <x:v>62966.94</x:v>
      </x:c>
      <x:c r="R20" s="58" t="n">
        <x:f>IF(AND(ISNUMBER(R18),ISNUMBER(R19)),R18-R19,"n.a.")</x:f>
        <x:v>62966.94</x:v>
      </x:c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IF(AND(ISNUMBER('Operations'!E20),ISNUMBER('Assumptions'!$D$52)),'Operations'!E20+'Assumptions'!$D$52,"n.a.")</x:f>
        <x:v>752693.2799999998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61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7431726.864366625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8363258.666666665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2" t="n">
        <x:f>IF(AND(ISNUMBER(D14)),D14,"n.a.")</x:f>
        <x:v>3900000</x:v>
      </x:c>
      <x:c r="H29" s="62" t="n">
        <x:f>IF(AND(ISNUMBER(G33)),G33,"n.a.")</x:f>
        <x:v>3900000</x:v>
      </x:c>
      <x:c r="I29" s="62" t="n">
        <x:f>IF(AND(ISNUMBER(H33)),H33,"n.a.")</x:f>
        <x:v>3900000</x:v>
      </x:c>
      <x:c r="J29" s="62" t="n">
        <x:f>IF(AND(ISNUMBER(I33)),I33,"n.a.")</x:f>
        <x:v>3900000</x:v>
      </x:c>
      <x:c r="K29" s="62" t="n">
        <x:f>IF(AND(ISNUMBER(J33)),J33,"n.a.")</x:f>
        <x:v>3900000</x:v>
      </x:c>
      <x:c r="L29" s="62" t="n">
        <x:f>IF(AND(ISNUMBER(K33)),K33,"n.a.")</x:f>
        <x:v>3900000</x:v>
      </x:c>
      <x:c r="M29" s="62" t="n">
        <x:f>IF(AND(ISNUMBER(L33)),L33,"n.a.")</x:f>
        <x:v>3900000</x:v>
      </x:c>
      <x:c r="N29" s="62" t="n">
        <x:f>IF(AND(ISNUMBER(M33)),M33,"n.a.")</x:f>
        <x:v>3894791.920707442</x:v>
      </x:c>
      <x:c r="O29" s="62" t="n">
        <x:f>IF(AND(ISNUMBER(N33)),N33,"n.a.")</x:f>
        <x:v>3889555.6309853825</x:v>
      </x:c>
      <x:c r="P29" s="62" t="n">
        <x:f>IF(AND(ISNUMBER(O33)),O33,"n.a.")</x:f>
        <x:v>3884290.9780273284</x:v>
      </x:c>
      <x:c r="Q29" s="62" t="n">
        <x:f>IF(AND(ISNUMBER(P33)),P33,"n.a.")</x:f>
        <x:v>3878997.808199085</x:v>
      </x:c>
      <x:c r="R29" s="62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3" t="n">
        <x:f>IF(AND(ISNUMBER(G29),ISNUMBER('Assumptions'!$D$31)),G29*'Assumptions'!$D$31/12,"n.a.")</x:f>
        <x:v>21125</x:v>
      </x:c>
      <x:c r="H30" s="63" t="n">
        <x:f>IF(AND(ISNUMBER(H29),ISNUMBER('Assumptions'!$D$31)),H29*'Assumptions'!$D$31/12,"n.a.")</x:f>
        <x:v>21125</x:v>
      </x:c>
      <x:c r="I30" s="63" t="n">
        <x:f>IF(AND(ISNUMBER(I29),ISNUMBER('Assumptions'!$D$31)),I29*'Assumptions'!$D$31/12,"n.a.")</x:f>
        <x:v>21125</x:v>
      </x:c>
      <x:c r="J30" s="63" t="n">
        <x:f>IF(AND(ISNUMBER(J29),ISNUMBER('Assumptions'!$D$31)),J29*'Assumptions'!$D$31/12,"n.a.")</x:f>
        <x:v>21125</x:v>
      </x:c>
      <x:c r="K30" s="63" t="n">
        <x:f>IF(AND(ISNUMBER(K29),ISNUMBER('Assumptions'!$D$31)),K29*'Assumptions'!$D$31/12,"n.a.")</x:f>
        <x:v>21125</x:v>
      </x:c>
      <x:c r="L30" s="63" t="n">
        <x:f>IF(AND(ISNUMBER(L29),ISNUMBER('Assumptions'!$D$31)),L29*'Assumptions'!$D$31/12,"n.a.")</x:f>
        <x:v>21125</x:v>
      </x:c>
      <x:c r="M30" s="63" t="n">
        <x:f>IF(AND(ISNUMBER(M29),ISNUMBER('Assumptions'!$D$31)),M29*'Assumptions'!$D$31/12,"n.a.")</x:f>
        <x:v>21125</x:v>
      </x:c>
      <x:c r="N30" s="63" t="n">
        <x:f>IF(AND(ISNUMBER(N29),ISNUMBER('Assumptions'!$D$31)),N29*'Assumptions'!$D$31/12,"n.a.")</x:f>
        <x:v>21096.789570498644</x:v>
      </x:c>
      <x:c r="O30" s="63" t="n">
        <x:f>IF(AND(ISNUMBER(O29),ISNUMBER('Assumptions'!$D$31)),O29*'Assumptions'!$D$31/12,"n.a.")</x:f>
        <x:v>21068.426334504158</x:v>
      </x:c>
      <x:c r="P30" s="63" t="n">
        <x:f>IF(AND(ISNUMBER(P29),ISNUMBER('Assumptions'!$D$31)),P29*'Assumptions'!$D$31/12,"n.a.")</x:f>
        <x:v>21039.909464314696</x:v>
      </x:c>
      <x:c r="Q30" s="63" t="n">
        <x:f>IF(AND(ISNUMBER(Q29),ISNUMBER('Assumptions'!$D$31)),Q29*'Assumptions'!$D$31/12,"n.a.")</x:f>
        <x:v>21011.238127745044</x:v>
      </x:c>
      <x:c r="R30" s="63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3" t="n">
        <x:f>IF(AND(ISNUMBER('Assumptions'!$D$37),ISNUMBER(G30),ISNUMBER(G29),ISNUMBER(D16)),IF(1&lt;='Assumptions'!$D$37,G30,MIN(G29+G30,D16)),"n.a.")</x:f>
        <x:v>21125</x:v>
      </x:c>
      <x:c r="H31" s="63" t="n">
        <x:f>IF(AND(ISNUMBER('Assumptions'!$D$37),ISNUMBER(H30),ISNUMBER(H29),ISNUMBER(D16)),IF(2&lt;='Assumptions'!$D$37,H30,MIN(H29+H30,D16)),"n.a.")</x:f>
        <x:v>21125</x:v>
      </x:c>
      <x:c r="I31" s="63" t="n">
        <x:f>IF(AND(ISNUMBER('Assumptions'!$D$37),ISNUMBER(I30),ISNUMBER(I29),ISNUMBER(D16)),IF(3&lt;='Assumptions'!$D$37,I30,MIN(I29+I30,D16)),"n.a.")</x:f>
        <x:v>21125</x:v>
      </x:c>
      <x:c r="J31" s="63" t="n">
        <x:f>IF(AND(ISNUMBER('Assumptions'!$D$37),ISNUMBER(J30),ISNUMBER(J29),ISNUMBER(D16)),IF(4&lt;='Assumptions'!$D$37,J30,MIN(J29+J30,D16)),"n.a.")</x:f>
        <x:v>21125</x:v>
      </x:c>
      <x:c r="K31" s="63" t="n">
        <x:f>IF(AND(ISNUMBER('Assumptions'!$D$37),ISNUMBER(K30),ISNUMBER(K29),ISNUMBER(D16)),IF(5&lt;='Assumptions'!$D$37,K30,MIN(K29+K30,D16)),"n.a.")</x:f>
        <x:v>21125</x:v>
      </x:c>
      <x:c r="L31" s="63" t="n">
        <x:f>IF(AND(ISNUMBER('Assumptions'!$D$37),ISNUMBER(L30),ISNUMBER(L29),ISNUMBER(D16)),IF(6&lt;='Assumptions'!$D$37,L30,MIN(L29+L30,D16)),"n.a.")</x:f>
        <x:v>21125</x:v>
      </x:c>
      <x:c r="M31" s="63" t="n">
        <x:f>IF(AND(ISNUMBER('Assumptions'!$D$37),ISNUMBER(M30),ISNUMBER(M29),ISNUMBER(D16)),IF(7&lt;='Assumptions'!$D$37,M30,MIN(M29+M30,D16)),"n.a.")</x:f>
        <x:v>26333.079292558024</x:v>
      </x:c>
      <x:c r="N31" s="63" t="n">
        <x:f>IF(AND(ISNUMBER('Assumptions'!$D$37),ISNUMBER(N30),ISNUMBER(N29),ISNUMBER(D16)),IF(8&lt;='Assumptions'!$D$37,N30,MIN(N29+N30,D16)),"n.a.")</x:f>
        <x:v>26333.079292558024</x:v>
      </x:c>
      <x:c r="O31" s="63" t="n">
        <x:f>IF(AND(ISNUMBER('Assumptions'!$D$37),ISNUMBER(O30),ISNUMBER(O29),ISNUMBER(D16)),IF(9&lt;='Assumptions'!$D$37,O30,MIN(O29+O30,D16)),"n.a.")</x:f>
        <x:v>26333.079292558024</x:v>
      </x:c>
      <x:c r="P31" s="63" t="n">
        <x:f>IF(AND(ISNUMBER('Assumptions'!$D$37),ISNUMBER(P30),ISNUMBER(P29),ISNUMBER(D16)),IF(10&lt;='Assumptions'!$D$37,P30,MIN(P29+P30,D16)),"n.a.")</x:f>
        <x:v>26333.079292558024</x:v>
      </x:c>
      <x:c r="Q31" s="63" t="n">
        <x:f>IF(AND(ISNUMBER('Assumptions'!$D$37),ISNUMBER(Q30),ISNUMBER(Q29),ISNUMBER(D16)),IF(11&lt;='Assumptions'!$D$37,Q30,MIN(Q29+Q30,D16)),"n.a.")</x:f>
        <x:v>26333.079292558024</x:v>
      </x:c>
      <x:c r="R31" s="63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2" t="n">
        <x:f>IF(AND(ISNUMBER(G31),ISNUMBER(G30)),G31-G30,"n.a.")</x:f>
        <x:v>0</x:v>
      </x:c>
      <x:c r="H32" s="62" t="n">
        <x:f>IF(AND(ISNUMBER(H31),ISNUMBER(H30)),H31-H30,"n.a.")</x:f>
        <x:v>0</x:v>
      </x:c>
      <x:c r="I32" s="62" t="n">
        <x:f>IF(AND(ISNUMBER(I31),ISNUMBER(I30)),I31-I30,"n.a.")</x:f>
        <x:v>0</x:v>
      </x:c>
      <x:c r="J32" s="62" t="n">
        <x:f>IF(AND(ISNUMBER(J31),ISNUMBER(J30)),J31-J30,"n.a.")</x:f>
        <x:v>0</x:v>
      </x:c>
      <x:c r="K32" s="62" t="n">
        <x:f>IF(AND(ISNUMBER(K31),ISNUMBER(K30)),K31-K30,"n.a.")</x:f>
        <x:v>0</x:v>
      </x:c>
      <x:c r="L32" s="62" t="n">
        <x:f>IF(AND(ISNUMBER(L31),ISNUMBER(L30)),L31-L30,"n.a.")</x:f>
        <x:v>0</x:v>
      </x:c>
      <x:c r="M32" s="62" t="n">
        <x:f>IF(AND(ISNUMBER(M31),ISNUMBER(M30)),M31-M30,"n.a.")</x:f>
        <x:v>5208.0792925580245</x:v>
      </x:c>
      <x:c r="N32" s="62" t="n">
        <x:f>IF(AND(ISNUMBER(N31),ISNUMBER(N30)),N31-N30,"n.a.")</x:f>
        <x:v>5236.28972205938</x:v>
      </x:c>
      <x:c r="O32" s="62" t="n">
        <x:f>IF(AND(ISNUMBER(O31),ISNUMBER(O30)),O31-O30,"n.a.")</x:f>
        <x:v>5264.652958053866</x:v>
      </x:c>
      <x:c r="P32" s="62" t="n">
        <x:f>IF(AND(ISNUMBER(P31),ISNUMBER(P30)),P31-P30,"n.a.")</x:f>
        <x:v>5293.169828243328</x:v>
      </x:c>
      <x:c r="Q32" s="62" t="n">
        <x:f>IF(AND(ISNUMBER(Q31),ISNUMBER(Q30)),Q31-Q30,"n.a.")</x:f>
        <x:v>5321.84116481298</x:v>
      </x:c>
      <x:c r="R32" s="62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2" t="n">
        <x:f>IF(AND(ISNUMBER(G29),ISNUMBER(G32),ISNUMBER(G38)),G29-G32-G38,"n.a.")</x:f>
        <x:v>3900000</x:v>
      </x:c>
      <x:c r="H33" s="62" t="n">
        <x:f>IF(AND(ISNUMBER(H29),ISNUMBER(H32),ISNUMBER(H38)),H29-H32-H38,"n.a.")</x:f>
        <x:v>3900000</x:v>
      </x:c>
      <x:c r="I33" s="62" t="n">
        <x:f>IF(AND(ISNUMBER(I29),ISNUMBER(I32),ISNUMBER(I38)),I29-I32-I38,"n.a.")</x:f>
        <x:v>3900000</x:v>
      </x:c>
      <x:c r="J33" s="62" t="n">
        <x:f>IF(AND(ISNUMBER(J29),ISNUMBER(J32),ISNUMBER(J38)),J29-J32-J38,"n.a.")</x:f>
        <x:v>3900000</x:v>
      </x:c>
      <x:c r="K33" s="62" t="n">
        <x:f>IF(AND(ISNUMBER(K29),ISNUMBER(K32),ISNUMBER(K38)),K29-K32-K38,"n.a.")</x:f>
        <x:v>3900000</x:v>
      </x:c>
      <x:c r="L33" s="62" t="n">
        <x:f>IF(AND(ISNUMBER(L29),ISNUMBER(L32),ISNUMBER(L38)),L29-L32-L38,"n.a.")</x:f>
        <x:v>3900000</x:v>
      </x:c>
      <x:c r="M33" s="62" t="n">
        <x:f>IF(AND(ISNUMBER(M29),ISNUMBER(M32),ISNUMBER(M38)),M29-M32-M38,"n.a.")</x:f>
        <x:v>3894791.920707442</x:v>
      </x:c>
      <x:c r="N33" s="62" t="n">
        <x:f>IF(AND(ISNUMBER(N29),ISNUMBER(N32),ISNUMBER(N38)),N29-N32-N38,"n.a.")</x:f>
        <x:v>3889555.6309853825</x:v>
      </x:c>
      <x:c r="O33" s="62" t="n">
        <x:f>IF(AND(ISNUMBER(O29),ISNUMBER(O32),ISNUMBER(O38)),O29-O32-O38,"n.a.")</x:f>
        <x:v>3884290.9780273284</x:v>
      </x:c>
      <x:c r="P33" s="62" t="n">
        <x:f>IF(AND(ISNUMBER(P29),ISNUMBER(P32),ISNUMBER(P38)),P29-P32-P38,"n.a.")</x:f>
        <x:v>3878997.808199085</x:v>
      </x:c>
      <x:c r="Q33" s="62" t="n">
        <x:f>IF(AND(ISNUMBER(Q29),ISNUMBER(Q32),ISNUMBER(Q38)),Q29-Q32-Q38,"n.a.")</x:f>
        <x:v>3873675.967034272</x:v>
      </x:c>
      <x:c r="R33" s="62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3" t="n">
        <x:f>IF(AND(ISNUMBER('Operations'!G20)),'Operations'!G20,"n.a.")</x:f>
        <x:v>62966.94</x:v>
      </x:c>
      <x:c r="H34" s="63" t="n">
        <x:f>IF(AND(ISNUMBER('Operations'!H20)),'Operations'!H20,"n.a.")</x:f>
        <x:v>62966.94</x:v>
      </x:c>
      <x:c r="I34" s="63" t="n">
        <x:f>IF(AND(ISNUMBER('Operations'!I20)),'Operations'!I20,"n.a.")</x:f>
        <x:v>62966.94</x:v>
      </x:c>
      <x:c r="J34" s="63" t="n">
        <x:f>IF(AND(ISNUMBER('Operations'!J20)),'Operations'!J20,"n.a.")</x:f>
        <x:v>62966.94</x:v>
      </x:c>
      <x:c r="K34" s="63" t="n">
        <x:f>IF(AND(ISNUMBER('Operations'!K20)),'Operations'!K20,"n.a.")</x:f>
        <x:v>62966.94</x:v>
      </x:c>
      <x:c r="L34" s="63" t="n">
        <x:f>IF(AND(ISNUMBER('Operations'!L20)),'Operations'!L20,"n.a.")</x:f>
        <x:v>62966.94</x:v>
      </x:c>
      <x:c r="M34" s="63" t="n">
        <x:f>IF(AND(ISNUMBER('Operations'!M20)),'Operations'!M20,"n.a.")</x:f>
        <x:v>60056.94</x:v>
      </x:c>
      <x:c r="N34" s="63" t="n">
        <x:f>IF(AND(ISNUMBER('Operations'!N20)),'Operations'!N20,"n.a.")</x:f>
        <x:v>62966.94</x:v>
      </x:c>
      <x:c r="O34" s="63" t="n">
        <x:f>IF(AND(ISNUMBER('Operations'!O20)),'Operations'!O20,"n.a.")</x:f>
        <x:v>62966.94</x:v>
      </x:c>
      <x:c r="P34" s="63" t="n">
        <x:f>IF(AND(ISNUMBER('Operations'!P20)),'Operations'!P20,"n.a.")</x:f>
        <x:v>62966.94</x:v>
      </x:c>
      <x:c r="Q34" s="63" t="n">
        <x:f>IF(AND(ISNUMBER('Operations'!Q20)),'Operations'!Q20,"n.a.")</x:f>
        <x:v>62966.94</x:v>
      </x:c>
      <x:c r="R34" s="63" t="n">
        <x:f>IF(AND(ISNUMBER('Operations'!R20)),'Operations'!R20,"n.a.")</x:f>
        <x:v>62966.94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3" t="n">
        <x:f>IF(AND(ISNUMBER('Operations'!G15)),'Operations'!G15,"n.a.")</x:f>
        <x:v>3600</x:v>
      </x:c>
      <x:c r="H35" s="63" t="n">
        <x:f>IF(AND(ISNUMBER('Operations'!H15)),'Operations'!H15,"n.a.")</x:f>
        <x:v>3600</x:v>
      </x:c>
      <x:c r="I35" s="63" t="n">
        <x:f>IF(AND(ISNUMBER('Operations'!I15)),'Operations'!I15,"n.a.")</x:f>
        <x:v>3600</x:v>
      </x:c>
      <x:c r="J35" s="63" t="n">
        <x:f>IF(AND(ISNUMBER('Operations'!J15)),'Operations'!J15,"n.a.")</x:f>
        <x:v>3600</x:v>
      </x:c>
      <x:c r="K35" s="63" t="n">
        <x:f>IF(AND(ISNUMBER('Operations'!K15)),'Operations'!K15,"n.a.")</x:f>
        <x:v>3600</x:v>
      </x:c>
      <x:c r="L35" s="63" t="n">
        <x:f>IF(AND(ISNUMBER('Operations'!L15)),'Operations'!L15,"n.a.")</x:f>
        <x:v>3600</x:v>
      </x:c>
      <x:c r="M35" s="63" t="n">
        <x:f>IF(AND(ISNUMBER('Operations'!M15)),'Operations'!M15,"n.a.")</x:f>
        <x:v>9600</x:v>
      </x:c>
      <x:c r="N35" s="63" t="n">
        <x:f>IF(AND(ISNUMBER('Operations'!N15)),'Operations'!N15,"n.a.")</x:f>
        <x:v>3600</x:v>
      </x:c>
      <x:c r="O35" s="63" t="n">
        <x:f>IF(AND(ISNUMBER('Operations'!O15)),'Operations'!O15,"n.a.")</x:f>
        <x:v>3600</x:v>
      </x:c>
      <x:c r="P35" s="63" t="n">
        <x:f>IF(AND(ISNUMBER('Operations'!P15)),'Operations'!P15,"n.a.")</x:f>
        <x:v>3600</x:v>
      </x:c>
      <x:c r="Q35" s="63" t="n">
        <x:f>IF(AND(ISNUMBER('Operations'!Q15)),'Operations'!Q15,"n.a.")</x:f>
        <x:v>3600</x:v>
      </x:c>
      <x:c r="R35" s="63" t="n">
        <x:f>IF(AND(ISNUMBER('Operations'!R15)),'Operations'!R15,"n.a.")</x:f>
        <x:v>3600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2" t="n">
        <x:f>IF(AND(ISNUMBER(G34),ISNUMBER(G31),ISNUMBER(G35),ISNUMBER(G38)),G34-G31-G35-G38,"n.a.")</x:f>
        <x:v>38241.94</x:v>
      </x:c>
      <x:c r="H36" s="62" t="n">
        <x:f>IF(AND(ISNUMBER(H34),ISNUMBER(H31),ISNUMBER(H35),ISNUMBER(H38)),H34-H31-H35-H38,"n.a.")</x:f>
        <x:v>38241.94</x:v>
      </x:c>
      <x:c r="I36" s="62" t="n">
        <x:f>IF(AND(ISNUMBER(I34),ISNUMBER(I31),ISNUMBER(I35),ISNUMBER(I38)),I34-I31-I35-I38,"n.a.")</x:f>
        <x:v>38241.94</x:v>
      </x:c>
      <x:c r="J36" s="62" t="n">
        <x:f>IF(AND(ISNUMBER(J34),ISNUMBER(J31),ISNUMBER(J35),ISNUMBER(J38)),J34-J31-J35-J38,"n.a.")</x:f>
        <x:v>38241.94</x:v>
      </x:c>
      <x:c r="K36" s="62" t="n">
        <x:f>IF(AND(ISNUMBER(K34),ISNUMBER(K31),ISNUMBER(K35),ISNUMBER(K38)),K34-K31-K35-K38,"n.a.")</x:f>
        <x:v>38241.94</x:v>
      </x:c>
      <x:c r="L36" s="62" t="n">
        <x:f>IF(AND(ISNUMBER(L34),ISNUMBER(L31),ISNUMBER(L35),ISNUMBER(L38)),L34-L31-L35-L38,"n.a.")</x:f>
        <x:v>38241.94</x:v>
      </x:c>
      <x:c r="M36" s="62" t="n">
        <x:f>IF(AND(ISNUMBER(M34),ISNUMBER(M31),ISNUMBER(M35),ISNUMBER(M38)),M34-M31-M35-M38,"n.a.")</x:f>
        <x:v>24123.860707441978</x:v>
      </x:c>
      <x:c r="N36" s="62" t="n">
        <x:f>IF(AND(ISNUMBER(N34),ISNUMBER(N31),ISNUMBER(N35),ISNUMBER(N38)),N34-N31-N35-N38,"n.a.")</x:f>
        <x:v>33033.86070744198</x:v>
      </x:c>
      <x:c r="O36" s="62" t="n">
        <x:f>IF(AND(ISNUMBER(O34),ISNUMBER(O31),ISNUMBER(O35),ISNUMBER(O38)),O34-O31-O35-O38,"n.a.")</x:f>
        <x:v>33033.86070744198</x:v>
      </x:c>
      <x:c r="P36" s="62" t="n">
        <x:f>IF(AND(ISNUMBER(P34),ISNUMBER(P31),ISNUMBER(P35),ISNUMBER(P38)),P34-P31-P35-P38,"n.a.")</x:f>
        <x:v>33033.86070744198</x:v>
      </x:c>
      <x:c r="Q36" s="62" t="n">
        <x:f>IF(AND(ISNUMBER(Q34),ISNUMBER(Q31),ISNUMBER(Q35),ISNUMBER(Q38)),Q34-Q31-Q35-Q38,"n.a.")</x:f>
        <x:v>33033.86070744198</x:v>
      </x:c>
      <x:c r="R36" s="62" t="n">
        <x:f>IF(AND(ISNUMBER(R34),ISNUMBER(R31),ISNUMBER(R35),ISNUMBER(R38)),R34-R31-R35-R38,"n.a.")</x:f>
        <x:v>33033.86070744198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3" t="n">
        <x:f>IF(AND(ISNUMBER('Assumptions'!$D$22),ISNUMBER(G36)),'Assumptions'!$D$22+G36,"n.a.")</x:f>
        <x:v>188241.94</x:v>
      </x:c>
      <x:c r="H37" s="62" t="n">
        <x:f>IF(AND(ISNUMBER(G37),ISNUMBER(H36)),G37+H36,"n.a.")</x:f>
        <x:v>226483.88</x:v>
      </x:c>
      <x:c r="I37" s="62" t="n">
        <x:f>IF(AND(ISNUMBER(H37),ISNUMBER(I36)),H37+I36,"n.a.")</x:f>
        <x:v>264725.82</x:v>
      </x:c>
      <x:c r="J37" s="62" t="n">
        <x:f>IF(AND(ISNUMBER(I37),ISNUMBER(J36)),I37+J36,"n.a.")</x:f>
        <x:v>302967.76</x:v>
      </x:c>
      <x:c r="K37" s="62" t="n">
        <x:f>IF(AND(ISNUMBER(J37),ISNUMBER(K36)),J37+K36,"n.a.")</x:f>
        <x:v>341209.7</x:v>
      </x:c>
      <x:c r="L37" s="62" t="n">
        <x:f>IF(AND(ISNUMBER(K37),ISNUMBER(L36)),K37+L36,"n.a.")</x:f>
        <x:v>379451.64</x:v>
      </x:c>
      <x:c r="M37" s="62" t="n">
        <x:f>IF(AND(ISNUMBER(L37),ISNUMBER(M36)),L37+M36,"n.a.")</x:f>
        <x:v>403575.500707442</x:v>
      </x:c>
      <x:c r="N37" s="62" t="n">
        <x:f>IF(AND(ISNUMBER(M37),ISNUMBER(N36)),M37+N36,"n.a.")</x:f>
        <x:v>436609.361414884</x:v>
      </x:c>
      <x:c r="O37" s="62" t="n">
        <x:f>IF(AND(ISNUMBER(N37),ISNUMBER(O36)),N37+O36,"n.a.")</x:f>
        <x:v>469643.22212232597</x:v>
      </x:c>
      <x:c r="P37" s="62" t="n">
        <x:f>IF(AND(ISNUMBER(O37),ISNUMBER(P36)),O37+P36,"n.a.")</x:f>
        <x:v>502677.08282976795</x:v>
      </x:c>
      <x:c r="Q37" s="62" t="n">
        <x:f>IF(AND(ISNUMBER(P37),ISNUMBER(Q36)),P37+Q36,"n.a.")</x:f>
        <x:v>535710.9435372099</x:v>
      </x:c>
      <x:c r="R37" s="62" t="n">
        <x:f>IF(AND(ISNUMBER(Q37),ISNUMBER(R36)),Q37+R36,"n.a.")</x:f>
        <x:v>568744.8042446518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3" t="n">
        <x:f>IF(AND(ISNUMBER('Assumptions'!$D$40),ISNUMBER(G29),ISNUMBER(G32)),IF(1='Assumptions'!$D$40,G29-G32,0),"n.a.")</x:f>
        <x:v>0</x:v>
      </x:c>
      <x:c r="H38" s="63" t="n">
        <x:f>IF(AND(ISNUMBER('Assumptions'!$D$40),ISNUMBER(H29),ISNUMBER(H32)),IF(2='Assumptions'!$D$40,H29-H32,0),"n.a.")</x:f>
        <x:v>0</x:v>
      </x:c>
      <x:c r="I38" s="63" t="n">
        <x:f>IF(AND(ISNUMBER('Assumptions'!$D$40),ISNUMBER(I29),ISNUMBER(I32)),IF(3='Assumptions'!$D$40,I29-I32,0),"n.a.")</x:f>
        <x:v>0</x:v>
      </x:c>
      <x:c r="J38" s="63" t="n">
        <x:f>IF(AND(ISNUMBER('Assumptions'!$D$40),ISNUMBER(J29),ISNUMBER(J32)),IF(4='Assumptions'!$D$40,J29-J32,0),"n.a.")</x:f>
        <x:v>0</x:v>
      </x:c>
      <x:c r="K38" s="63" t="n">
        <x:f>IF(AND(ISNUMBER('Assumptions'!$D$40),ISNUMBER(K29),ISNUMBER(K32)),IF(5='Assumptions'!$D$40,K29-K32,0),"n.a.")</x:f>
        <x:v>0</x:v>
      </x:c>
      <x:c r="L38" s="63" t="n">
        <x:f>IF(AND(ISNUMBER('Assumptions'!$D$40),ISNUMBER(L29),ISNUMBER(L32)),IF(6='Assumptions'!$D$40,L29-L32,0),"n.a.")</x:f>
        <x:v>0</x:v>
      </x:c>
      <x:c r="M38" s="63" t="n">
        <x:f>IF(AND(ISNUMBER('Assumptions'!$D$40),ISNUMBER(M29),ISNUMBER(M32)),IF(7='Assumptions'!$D$40,M29-M32,0),"n.a.")</x:f>
        <x:v>0</x:v>
      </x:c>
      <x:c r="N38" s="63" t="n">
        <x:f>IF(AND(ISNUMBER('Assumptions'!$D$40),ISNUMBER(N29),ISNUMBER(N32)),IF(8='Assumptions'!$D$40,N29-N32,0),"n.a.")</x:f>
        <x:v>0</x:v>
      </x:c>
      <x:c r="O38" s="63" t="n">
        <x:f>IF(AND(ISNUMBER('Assumptions'!$D$40),ISNUMBER(O29),ISNUMBER(O32)),IF(9='Assumptions'!$D$40,O29-O32,0),"n.a.")</x:f>
        <x:v>0</x:v>
      </x:c>
      <x:c r="P38" s="63" t="n">
        <x:f>IF(AND(ISNUMBER('Assumptions'!$D$40),ISNUMBER(P29),ISNUMBER(P32)),IF(10='Assumptions'!$D$40,P29-P32,0),"n.a.")</x:f>
        <x:v>0</x:v>
      </x:c>
      <x:c r="Q38" s="63" t="n">
        <x:f>IF(AND(ISNUMBER('Assumptions'!$D$40),ISNUMBER(Q29),ISNUMBER(Q32)),IF(11='Assumptions'!$D$40,Q29-Q32,0),"n.a.")</x:f>
        <x:v>0</x:v>
      </x:c>
      <x:c r="R38" s="63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4" t="n">
        <x:f>IF(AND(ISNUMBER(D43),ISNUMBER(D9)),IF(D43=0,"n.a.",D9/D43),"n.a.")</x:f>
        <x:v>2.643361928464556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568744.8042446518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3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3" t="n">
        <x:f>COUNTIFS('Unit Mix'!N10:N21,"Missing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3" t="n">
        <x:f>IF(AND(ISNUMBER('Operations'!E18),ISNUMBER('Operations'!E13),ISNUMBER('Operations'!E17)),'Operations'!E18-'Operations'!E13+'Operations'!E17,"n.a.")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3" t="n">
        <x:f>IF(AND(ISNUMBER('Operations'!E20),ISNUMBER('Operations'!E18),ISNUMBER('Operations'!E19)),'Operations'!E20-'Operations'!E18+'Operations'!E19,"n.a.")</x:f>
        <x:v>-2.000888343900442e-10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3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3" t="n">
        <x:f>IF(COUNT('Debt and Funding'!G34:R36)=36,'Debt and Funding'!R37-'Assumptions'!$D$22-SUM('Debt and Funding'!G34:R34)+SUM('Debt and Funding'!G31:R31)+SUM('Debt and Funding'!G35:R35)+SUM('Debt and Funding'!G38:R38),"n.a.")</x:f>
        <x:v>1.1641532182693481e-10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3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Turn concessions are cash deductions, not a second occupancy loss. Turn capital is below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NOI. Occupancy is an average monthly fraction, not a unit-level rent roll.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Occupied units do not prove paid collections. The activity multiplier is an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economic-occupancy proxy and the price multiplier can represent collection or rent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changes; reconcile actual rent, delinquency and bad-debt evidence before use.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Every numerical assumption is illustrative. No current market quote, legal conclusion or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lender eligibility is represented.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NCF is a modeled cash measure after cash reserve deposits. An actual lender may adjust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income, expenses, reserves, tax and business cash differently.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No tax return, appraisal, legal compliance, guaranty capacity or refinancing approval is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established by the calculations.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Calculation methods and conventions are shown here. Check Review and replace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illustrative inputs before relying on results.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