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2207fcd86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ac39acb01174137"/>
    <x:sheet xmlns:r="http://schemas.openxmlformats.org/officeDocument/2006/relationships" name="Assumptions" sheetId="2" r:id="Ref5ff327a5984171"/>
    <x:sheet xmlns:r="http://schemas.openxmlformats.org/officeDocument/2006/relationships" name="Lease Schedule" sheetId="3" r:id="R03fe28f852fa4ee4"/>
    <x:sheet xmlns:r="http://schemas.openxmlformats.org/officeDocument/2006/relationships" name="Operations" sheetId="4" r:id="Rb65e1a0b24254806"/>
    <x:sheet xmlns:r="http://schemas.openxmlformats.org/officeDocument/2006/relationships" name="Debt and Funding" sheetId="5" r:id="R2ae93d0cd1e54a2c"/>
    <x:sheet xmlns:r="http://schemas.openxmlformats.org/officeDocument/2006/relationships" name="Review" sheetId="6" r:id="Rf54b2f14a87a4c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864a14d2a4d3c" /><Relationship Type="http://schemas.openxmlformats.org/officeDocument/2006/relationships/theme" Target="/xl/theme/theme1.xml" Id="R52ecd6e178ff42c3" /><Relationship Type="http://schemas.openxmlformats.org/officeDocument/2006/relationships/sharedStrings" Target="/xl/sharedStrings.xml" Id="Ra98867cb0202428c" /><Relationship Type="http://schemas.openxmlformats.org/officeDocument/2006/relationships/worksheet" Target="/xl/worksheets/sheet1.xml" Id="Rcac39acb01174137" /><Relationship Type="http://schemas.openxmlformats.org/officeDocument/2006/relationships/worksheet" Target="/xl/worksheets/sheet2.xml" Id="Ref5ff327a5984171" /><Relationship Type="http://schemas.openxmlformats.org/officeDocument/2006/relationships/worksheet" Target="/xl/worksheets/sheet3.xml" Id="R03fe28f852fa4ee4" /><Relationship Type="http://schemas.openxmlformats.org/officeDocument/2006/relationships/worksheet" Target="/xl/worksheets/sheet4.xml" Id="Rb65e1a0b24254806" /><Relationship Type="http://schemas.openxmlformats.org/officeDocument/2006/relationships/worksheet" Target="/xl/worksheets/sheet5.xml" Id="R2ae93d0cd1e54a2c" /><Relationship Type="http://schemas.openxmlformats.org/officeDocument/2006/relationships/worksheet" Target="/xl/worksheets/sheet6.xml" Id="Rf54b2f14a87a4c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Office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46" t="n">
        <x:f>'Operations'!E22</x:f>
        <x:v>1702416.6666666665</x:v>
      </x:c>
      <x:c r="E10" s="2"/>
      <x:c r="F10" s="2"/>
      <x:c r="G10" s="64" t="n">
        <x:f>'Operations'!G9</x:f>
        <x:v>46388</x:v>
      </x:c>
      <x:c r="H10" s="65" t="n">
        <x:f>'Debt and Funding'!G36</x:f>
        <x:v>129335.625</x:v>
      </x:c>
      <x:c r="I10" s="65" t="n">
        <x:f>'Debt and Funding'!G37</x:f>
        <x:v>279335.625</x:v>
      </x:c>
      <x:c r="J10" s="65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6" t="n">
        <x:f>'Operations'!E26</x:f>
        <x:v>465000</x:v>
      </x:c>
      <x:c r="E11" s="2"/>
      <x:c r="F11" s="2"/>
      <x:c r="G11" s="64" t="n">
        <x:f>'Operations'!H9</x:f>
        <x:v>46419</x:v>
      </x:c>
      <x:c r="H11" s="65" t="n">
        <x:f>'Debt and Funding'!H36</x:f>
        <x:v>129335.625</x:v>
      </x:c>
      <x:c r="I11" s="65" t="n">
        <x:f>'Debt and Funding'!H37</x:f>
        <x:v>408671.25</x:v>
      </x:c>
      <x:c r="J11" s="65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6" t="n">
        <x:f>'Operations'!E27</x:f>
        <x:v>1237416.6666666665</x:v>
      </x:c>
      <x:c r="E12" s="2"/>
      <x:c r="F12" s="2"/>
      <x:c r="G12" s="64" t="n">
        <x:f>'Operations'!I9</x:f>
        <x:v>46447</x:v>
      </x:c>
      <x:c r="H12" s="65" t="n">
        <x:f>'Debt and Funding'!I36</x:f>
        <x:v>129335.625</x:v>
      </x:c>
      <x:c r="I12" s="65" t="n">
        <x:f>'Debt and Funding'!I37</x:f>
        <x:v>538006.875</x:v>
      </x:c>
      <x:c r="J12" s="65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6" t="n">
        <x:f>'Operations'!E28</x:f>
        <x:v>51072.5</x:v>
      </x:c>
      <x:c r="E13" s="2"/>
      <x:c r="F13" s="2"/>
      <x:c r="G13" s="64" t="n">
        <x:f>'Operations'!J9</x:f>
        <x:v>46478</x:v>
      </x:c>
      <x:c r="H13" s="65" t="n">
        <x:f>'Debt and Funding'!J36</x:f>
        <x:v>-20664.375</x:v>
      </x:c>
      <x:c r="I13" s="65" t="n">
        <x:f>'Debt and Funding'!J37</x:f>
        <x:v>517342.5</x:v>
      </x:c>
      <x:c r="J13" s="65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6" t="n">
        <x:f>'Operations'!E29</x:f>
        <x:v>1186344.1666666665</x:v>
      </x:c>
      <x:c r="E14" s="2"/>
      <x:c r="F14" s="2"/>
      <x:c r="G14" s="64" t="n">
        <x:f>'Operations'!K9</x:f>
        <x:v>46508</x:v>
      </x:c>
      <x:c r="H14" s="65" t="n">
        <x:f>'Debt and Funding'!K36</x:f>
        <x:v>129335.625</x:v>
      </x:c>
      <x:c r="I14" s="65" t="n">
        <x:f>'Debt and Funding'!K37</x:f>
        <x:v>646678.125</x:v>
      </x:c>
      <x:c r="J14" s="65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6" t="n">
        <x:f>'Debt and Funding'!D9</x:f>
        <x:v>1186344.1666666665</x:v>
      </x:c>
      <x:c r="E15" s="2"/>
      <x:c r="F15" s="2"/>
      <x:c r="G15" s="64" t="n">
        <x:f>'Operations'!L9</x:f>
        <x:v>46539</x:v>
      </x:c>
      <x:c r="H15" s="65" t="n">
        <x:f>'Debt and Funding'!L36</x:f>
        <x:v>129335.625</x:v>
      </x:c>
      <x:c r="I15" s="65" t="n">
        <x:f>'Debt and Funding'!L37</x:f>
        <x:v>776013.75</x:v>
      </x:c>
      <x:c r="J15" s="65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6" t="n">
        <x:f>'Debt and Funding'!D11</x:f>
        <x:v>11713384.51939056</x:v>
      </x:c>
      <x:c r="E16" s="2"/>
      <x:c r="F16" s="2"/>
      <x:c r="G16" s="64" t="n">
        <x:f>'Operations'!M9</x:f>
        <x:v>46569</x:v>
      </x:c>
      <x:c r="H16" s="65" t="n">
        <x:f>'Debt and Funding'!M36</x:f>
        <x:v>49861.92070744199</x:v>
      </x:c>
      <x:c r="I16" s="65" t="n">
        <x:f>'Debt and Funding'!M37</x:f>
        <x:v>825875.670707442</x:v>
      </x:c>
      <x:c r="J16" s="65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6" t="n">
        <x:f>'Debt and Funding'!D12</x:f>
        <x:v>3900000</x:v>
      </x:c>
      <x:c r="E17" s="2"/>
      <x:c r="F17" s="2"/>
      <x:c r="G17" s="64" t="n">
        <x:f>'Operations'!N9</x:f>
        <x:v>46600</x:v>
      </x:c>
      <x:c r="H17" s="65" t="n">
        <x:f>'Debt and Funding'!N36</x:f>
        <x:v>49861.92070744199</x:v>
      </x:c>
      <x:c r="I17" s="65" t="n">
        <x:f>'Debt and Funding'!N37</x:f>
        <x:v>875737.591414884</x:v>
      </x:c>
      <x:c r="J17" s="65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6" t="n">
        <x:f>'Debt and Funding'!D13</x:f>
        <x:v>13181601.85185185</x:v>
      </x:c>
      <x:c r="E18" s="2"/>
      <x:c r="F18" s="2"/>
      <x:c r="G18" s="64" t="n">
        <x:f>'Operations'!O9</x:f>
        <x:v>46631</x:v>
      </x:c>
      <x:c r="H18" s="65" t="n">
        <x:f>'Debt and Funding'!O36</x:f>
        <x:v>49861.92070744199</x:v>
      </x:c>
      <x:c r="I18" s="65" t="n">
        <x:f>'Debt and Funding'!O37</x:f>
        <x:v>925599.512122326</x:v>
      </x:c>
      <x:c r="J18" s="65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1" t="str">
        <x:v>Sized loan</x:v>
      </x:c>
      <x:c r="D19" s="60" t="n">
        <x:f>'Debt and Funding'!D14</x:f>
        <x:v>3900000</x:v>
      </x:c>
      <x:c r="E19" s="2"/>
      <x:c r="F19" s="2"/>
      <x:c r="G19" s="64" t="n">
        <x:f>'Operations'!P9</x:f>
        <x:v>46661</x:v>
      </x:c>
      <x:c r="H19" s="65" t="n">
        <x:f>'Debt and Funding'!P36</x:f>
        <x:v>-14400.579292558024</x:v>
      </x:c>
      <x:c r="I19" s="65" t="n">
        <x:f>'Debt and Funding'!P37</x:f>
        <x:v>911198.9328297679</x:v>
      </x:c>
      <x:c r="J19" s="65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1" t="str">
        <x:f>'Debt and Funding'!D15</x:f>
        <x:v>LTV</x:v>
      </x:c>
      <x:c r="E20" s="2"/>
      <x:c r="F20" s="2"/>
      <x:c r="G20" s="64" t="n">
        <x:f>'Operations'!Q9</x:f>
        <x:v>46692</x:v>
      </x:c>
      <x:c r="H20" s="65" t="n">
        <x:f>'Debt and Funding'!Q36</x:f>
        <x:v>-1479801.6209592246</x:v>
      </x:c>
      <x:c r="I20" s="65" t="n">
        <x:f>'Debt and Funding'!Q37</x:f>
        <x:v>-568602.6881294567</x:v>
      </x:c>
      <x:c r="J20" s="65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6" t="n">
        <x:f>'Debt and Funding'!D43</x:f>
        <x:v>284748.4757553481</x:v>
      </x:c>
      <x:c r="E21" s="2"/>
      <x:c r="F21" s="2"/>
      <x:c r="G21" s="64" t="n">
        <x:f>'Operations'!R9</x:f>
        <x:v>46722</x:v>
      </x:c>
      <x:c r="H21" s="65" t="n">
        <x:f>'Debt and Funding'!R36</x:f>
        <x:v>-4801.620959224696</x:v>
      </x:c>
      <x:c r="I21" s="65" t="n">
        <x:f>'Debt and Funding'!R37</x:f>
        <x:v>-573404.3090886814</x:v>
      </x:c>
      <x:c r="J21" s="65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2" t="n">
        <x:f>'Debt and Funding'!D44</x:f>
        <x:v>4.166288031989175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6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6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6" t="n">
        <x:f>'Debt and Funding'!D46</x:f>
        <x:v>573404.3090886814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1" t="str">
        <x:v>Equity after 12-month modeled needs</x:v>
      </x:c>
      <x:c r="D26" s="60" t="n">
        <x:f>'Debt and Funding'!D47</x:f>
        <x:v>-73404.30908868136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6" t="n">
        <x:f>'Debt and Funding'!D45</x:f>
        <x:v>3868325.299229816</x:v>
      </x:c>
      <x:c r="E27" s="2"/>
      <x:c r="F27" s="2"/>
      <x:c r="G27" s="2" t="str">
        <x:v>Edit blue cells in Lease Schedule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6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Three tenant cohorts. Month13 means no expiry inside this twelve-month horizon. Expiration is the first unpaid old-lease month.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New occupancy begins after downtime plus selected additional downtime. Free rent begins at new occupancy; recoveries resume at occupancy. TI and LC fund at occupancy.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LC uses new annual contractual rent times entered lease term and LC fraction; it is not reduced for free rent. Lease revenue shocks do not change contractual LC basis.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Activity multiplier is an economic collection sensitivity; it does not alter leased area, legal rights or the scheduled TI obligation.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75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42" t="str">
        <x:v>TI and LC scheduled after month 12 remain future obligations outside this twelve-month cash model. A delay that lowers current cash needs is not a cost saving. Test the later funding requirement separately.</x:v>
      </x:c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75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42" t="str">
        <x:v>Parking cash and common-area work are separate from reimbursable service costs and tenant-specific work.</x:v>
      </x:c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Additional relet downtime</x:v>
      </x:c>
      <x:c r="D73" s="37" t="n">
        <x:f>IF($D$5=1,IF(ISNUMBER(D74),IF(AND(D74&gt;=0,D74&lt;=12,D74=INT(D74)),D74,"n.a."),"n.a."),IF($D$5=2,IF(ISNUMBER(D75),IF(AND(D75&gt;=0,D75&lt;=12,D75=INT(D75)),D75,"n.a."),"n.a."),"n.a."))</x:f>
        <x:v>0</x:v>
      </x:c>
      <x:c r="E73" s="22" t="str">
        <x:v>months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2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31" t="str">
        <x:v>Recovery collection fraction</x:v>
      </x:c>
      <x:c r="D76" s="32" t="n">
        <x:f>IF($D$5=1,IF(ISNUMBER(D77),IF(AND(D77&gt;=0,D77&lt;=1),D77,"n.a."),"n.a."),IF($D$5=2,IF(ISNUMBER(D78),IF(AND(D78&gt;=0,D78&lt;=1),D78,"n.a."),"n.a."),"n.a."))</x:f>
        <x:v>0.95</x:v>
      </x:c>
      <x:c r="E76" s="33" t="str">
        <x:v>%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34" t="str">
        <x:v>Base</x:v>
      </x:c>
      <x:c r="D77" s="35" t="n">
        <x:v>0.95</x:v>
      </x:c>
      <x:c r="E77" s="36"/>
      <x:c r="F77" s="2"/>
      <x:c r="G77" s="2"/>
      <x:c r="H77" s="2"/>
      <x:c r="I77" s="2"/>
      <x:c r="J77" s="2"/>
    </x:row>
    <x:row r="78" ht="21" customHeight="1">
      <x:c r="A78" s="2"/>
      <x:c r="B78" s="2"/>
      <x:c r="C78" s="34" t="str">
        <x:v>Downside</x:v>
      </x:c>
      <x:c r="D78" s="35" t="n">
        <x:v>0.85</x:v>
      </x:c>
      <x:c r="E78" s="36"/>
      <x:c r="F78" s="2"/>
      <x:c r="G78" s="2"/>
      <x:c r="H78" s="2"/>
      <x:c r="I78" s="2"/>
      <x:c r="J78" s="2"/>
    </x:row>
    <x:row r="79" ht="21" customHeight="1">
      <x:c r="A79" s="2"/>
      <x:c r="B79" s="2"/>
      <x:c r="C79" s="24" t="str">
        <x:v>New lease term for LC (years)</x:v>
      </x:c>
      <x:c r="D79" s="37" t="n">
        <x:f>IF($D$5=1,IF(ISNUMBER(D80),IF(AND(D80&gt;=1,D80&lt;=20,D80=INT(D80)),D80,"n.a."),"n.a."),IF($D$5=2,IF(ISNUMBER(D81),IF(AND(D81&gt;=1,D81&lt;=20,D81=INT(D81)),D81,"n.a."),"n.a."),"n.a."))</x:f>
        <x:v>5</x:v>
      </x:c>
      <x:c r="E79" s="22" t="str">
        <x:v>years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28" t="str">
        <x:v>Base</x:v>
      </x:c>
      <x:c r="D80" s="16" t="n">
        <x:v>5</x:v>
      </x:c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8" t="str">
        <x:v>Downside</x:v>
      </x:c>
      <x:c r="D81" s="16" t="n">
        <x:v>5</x:v>
      </x:c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4" t="str">
        <x:v>Monthly parking / amenity collections</x:v>
      </x:c>
      <x:c r="D82" s="26" t="n">
        <x:f>IF($D$5=1,IF(ISNUMBER(D83),IF(AND(D83&gt;=0,D83&lt;=1000000000000),D83,"n.a."),"n.a."),IF($D$5=2,IF(ISNUMBER(D84),IF(AND(D84&gt;=0,D84&lt;=1000000000000),D84,"n.a."),"n.a."),"n.a."))</x:f>
        <x:v>10000</x:v>
      </x:c>
      <x:c r="E82" s="22" t="str">
        <x:v>USD</x:v>
      </x:c>
      <x:c r="F82" s="2"/>
      <x:c r="G82" s="2"/>
      <x:c r="H82" s="2"/>
      <x:c r="I82" s="2"/>
      <x:c r="J82" s="2"/>
    </x:row>
    <x:row r="83" ht="21" customHeight="1">
      <x:c r="A83" s="2"/>
      <x:c r="B83" s="2"/>
      <x:c r="C83" s="28" t="str">
        <x:v>Base</x:v>
      </x:c>
      <x:c r="D83" s="27" t="n">
        <x:v>10000</x:v>
      </x:c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8" t="str">
        <x:v>Downside</x:v>
      </x:c>
      <x:c r="D84" s="27" t="n">
        <x:v>7000</x:v>
      </x:c>
      <x:c r="E84" s="2"/>
      <x:c r="F84" s="2"/>
      <x:c r="G84" s="2"/>
      <x:c r="H84" s="2"/>
      <x:c r="I84" s="2"/>
      <x:c r="J84" s="2"/>
    </x:row>
    <x:row r="85" ht="21" customHeight="1">
      <x:c r="A85" s="2"/>
      <x:c r="B85" s="2"/>
      <x:c r="C85" s="24" t="str">
        <x:v>Common-area work in month 4</x:v>
      </x:c>
      <x:c r="D85" s="26" t="n">
        <x:f>IF($D$5=1,IF(ISNUMBER(D86),IF(AND(D86&gt;=0,D86&lt;=1000000000000),D86,"n.a."),"n.a."),IF($D$5=2,IF(ISNUMBER(D87),IF(AND(D87&gt;=0,D87&lt;=1000000000000),D87,"n.a."),"n.a."),"n.a."))</x:f>
        <x:v>150000</x:v>
      </x:c>
      <x:c r="E85" s="22" t="str">
        <x:v>USD</x:v>
      </x:c>
      <x:c r="F85" s="2"/>
      <x:c r="G85" s="2"/>
      <x:c r="H85" s="2"/>
      <x:c r="I85" s="2"/>
      <x:c r="J85" s="2"/>
    </x:row>
    <x:row r="86" ht="21" customHeight="1">
      <x:c r="A86" s="2"/>
      <x:c r="B86" s="2"/>
      <x:c r="C86" s="28" t="str">
        <x:v>Base</x:v>
      </x:c>
      <x:c r="D86" s="27" t="n">
        <x:v>150000</x:v>
      </x:c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8" t="str">
        <x:v>Downside</x:v>
      </x:c>
      <x:c r="D87" s="27" t="n">
        <x:v>200000</x:v>
      </x:c>
      <x:c r="E87" s="2"/>
      <x:c r="F87" s="2"/>
      <x:c r="G87" s="2"/>
      <x:c r="H87" s="2"/>
      <x:c r="I87" s="2"/>
      <x:c r="J87" s="2"/>
    </x:row>
    <x:row r="88" ht="21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1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1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1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1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1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</x:sheetData>
  <x:dataValidations count="5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12</x:formula2>
    </x:dataValidation>
    <x:dataValidation type="decimal" operator="between" sqref="D75">
      <x:formula1>0</x:formula1>
      <x:formula2>12</x:formula2>
    </x:dataValidation>
    <x:dataValidation type="decimal" operator="between" sqref="D77">
      <x:formula1>0</x:formula1>
      <x:formula2>1</x:formula2>
    </x:dataValidation>
    <x:dataValidation type="decimal" operator="between" sqref="D78">
      <x:formula1>0</x:formula1>
      <x:formula2>1</x:formula2>
    </x:dataValidation>
    <x:dataValidation type="decimal" operator="between" sqref="D80">
      <x:formula1>1</x:formula1>
      <x:formula2>20</x:formula2>
    </x:dataValidation>
    <x:dataValidation type="decimal" operator="between" sqref="D81">
      <x:formula1>1</x:formula1>
      <x:formula2>20</x:formula2>
    </x:dataValidation>
    <x:dataValidation type="decimal" operator="between" sqref="D83">
      <x:formula1>0</x:formula1>
      <x:formula2>1000000000000</x:formula2>
    </x:dataValidation>
    <x:dataValidation type="decimal" operator="between" sqref="D84">
      <x:formula1>0</x:formula1>
      <x:formula2>1000000000000</x:formula2>
    </x:dataValidation>
    <x:dataValidation type="decimal" operator="between" sqref="D86">
      <x:formula1>0</x:formula1>
      <x:formula2>1000000000000</x:formula2>
    </x:dataValidation>
    <x:dataValidation type="decimal" operator="between" sqref="D87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Lease Schedule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Tenant cohort</x:v>
      </x:c>
      <x:c r="D9" s="21" t="str">
        <x:v>Area (sf)</x:v>
      </x:c>
      <x:c r="E9" s="21" t="str">
        <x:v>Current rent / sf / yr</x:v>
      </x:c>
      <x:c r="F9" s="21" t="str">
        <x:v>Relet rent / sf / yr</x:v>
      </x:c>
      <x:c r="G9" s="21" t="str">
        <x:v>First month expired</x:v>
      </x:c>
      <x:c r="H9" s="21" t="str">
        <x:v>Downtime</x:v>
      </x:c>
      <x:c r="I9" s="21" t="str">
        <x:v>Free-rent months</x:v>
      </x:c>
      <x:c r="J9" s="21" t="str">
        <x:v>TI / sf</x:v>
      </x:c>
      <x:c r="K9" s="21" t="str">
        <x:v>LC fraction</x:v>
      </x:c>
      <x:c r="L9" s="21" t="str">
        <x:v>Annual costs / sf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2" t="str">
        <x:v>Tenant 1</x:v>
      </x:c>
      <x:c r="D10" s="16" t="n">
        <x:v>25000</x:v>
      </x:c>
      <x:c r="E10" s="27" t="n">
        <x:v>32</x:v>
      </x:c>
      <x:c r="F10" s="27" t="n">
        <x:v>30</x:v>
      </x:c>
      <x:c r="G10" s="16" t="n">
        <x:v>7</x:v>
      </x:c>
      <x:c r="H10" s="16" t="n">
        <x:v>4</x:v>
      </x:c>
      <x:c r="I10" s="16" t="n">
        <x:v>2</x:v>
      </x:c>
      <x:c r="J10" s="27" t="n">
        <x:v>50</x:v>
      </x:c>
      <x:c r="K10" s="30" t="n">
        <x:v>0.06</x:v>
      </x:c>
      <x:c r="L10" s="27" t="n">
        <x:v>5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1,G10&lt;=13,G10=INT(G10)),FALSE),IF(ISNUMBER(H10),AND(H10&gt;=0,H10&lt;=12,H10=INT(H10)),FALSE),IF(ISNUMBER(I10),AND(I10&gt;=0,I10&lt;=12,I10=INT(I10)),FALSE),IF(ISNUMBER(J10),AND(J10&gt;=0,J10&lt;=1000000000000),FALSE),IF(ISNUMBER(K10),AND(K10&gt;=0,K10&lt;=1)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2" t="str">
        <x:v>Tenant 2</x:v>
      </x:c>
      <x:c r="D11" s="16" t="n">
        <x:v>20000</x:v>
      </x:c>
      <x:c r="E11" s="27" t="n">
        <x:v>35</x:v>
      </x:c>
      <x:c r="F11" s="27" t="n">
        <x:v>33</x:v>
      </x:c>
      <x:c r="G11" s="16" t="n">
        <x:v>10</x:v>
      </x:c>
      <x:c r="H11" s="16" t="n">
        <x:v>3</x:v>
      </x:c>
      <x:c r="I11" s="16" t="n">
        <x:v>2</x:v>
      </x:c>
      <x:c r="J11" s="27" t="n">
        <x:v>55</x:v>
      </x:c>
      <x:c r="K11" s="30" t="n">
        <x:v>0.06</x:v>
      </x:c>
      <x:c r="L11" s="27" t="n">
        <x:v>5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1,G11&lt;=13,G11=INT(G11)),FALSE),IF(ISNUMBER(H11),AND(H11&gt;=0,H11&lt;=12,H11=INT(H11)),FALSE),IF(ISNUMBER(I11),AND(I11&gt;=0,I11&lt;=12,I11=INT(I11)),FALSE),IF(ISNUMBER(J11),AND(J11&gt;=0,J11&lt;=1000000000000),FALSE),IF(ISNUMBER(K11),AND(K11&gt;=0,K11&lt;=1)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2" t="str">
        <x:v>Tenant 3</x:v>
      </x:c>
      <x:c r="D12" s="16" t="n">
        <x:v>15000</x:v>
      </x:c>
      <x:c r="E12" s="27" t="n">
        <x:v>30</x:v>
      </x:c>
      <x:c r="F12" s="27" t="n">
        <x:v>30</x:v>
      </x:c>
      <x:c r="G12" s="16" t="n">
        <x:v>13</x:v>
      </x:c>
      <x:c r="H12" s="16" t="n">
        <x:v>0</x:v>
      </x:c>
      <x:c r="I12" s="16" t="n">
        <x:v>0</x:v>
      </x:c>
      <x:c r="J12" s="27" t="n">
        <x:v>0</x:v>
      </x:c>
      <x:c r="K12" s="30" t="n">
        <x:v>0</x:v>
      </x:c>
      <x:c r="L12" s="27" t="n">
        <x:v>4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1,G12&lt;=13,G12=INT(G12)),FALSE),IF(ISNUMBER(H12),AND(H12&gt;=0,H12&lt;=12,H12=INT(H12)),FALSE),IF(ISNUMBER(I12),AND(I12&gt;=0,I12&lt;=12,I12=INT(I12)),FALSE),IF(ISNUMBER(J12),AND(J12&gt;=0,J12&lt;=1000000000000),FALSE),IF(ISNUMBER(K12),AND(K12&gt;=0,K12&lt;=1)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</x:sheetData>
  <x:conditionalFormatting sqref="N10:N12">
    <x:cfRule type="containsText" dxfId="0" priority="1" operator="containsText" text="invalid"/>
  </x:conditionalFormatting>
  <x:dataValidations count="27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1</x:formula1>
      <x:formula2>13</x:formula2>
    </x:dataValidation>
    <x:dataValidation type="decimal" operator="between" sqref="H10">
      <x:formula1>0</x:formula1>
      <x:formula2>12</x:formula2>
    </x:dataValidation>
    <x:dataValidation type="decimal" operator="between" sqref="I10">
      <x:formula1>0</x:formula1>
      <x:formula2>12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1</x:formula1>
      <x:formula2>13</x:formula2>
    </x:dataValidation>
    <x:dataValidation type="decimal" operator="between" sqref="H11">
      <x:formula1>0</x:formula1>
      <x:formula2>12</x:formula2>
    </x:dataValidation>
    <x:dataValidation type="decimal" operator="between" sqref="I11">
      <x:formula1>0</x:formula1>
      <x:formula2>12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1</x:formula1>
      <x:formula2>13</x:formula2>
    </x:dataValidation>
    <x:dataValidation type="decimal" operator="between" sqref="H12">
      <x:formula1>0</x:formula1>
      <x:formula2>12</x:formula2>
    </x:dataValidation>
    <x:dataValidation type="decimal" operator="between" sqref="I12">
      <x:formula1>0</x:formula1>
      <x:formula2>12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</x:formula2>
    </x:dataValidation>
    <x:dataValidation type="decimal" operator="between" sqref="L12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5" t="n">
        <x:f>IF(ISNUMBER('Assumptions'!D7),IF(AND('Assumptions'!D7=INT('Assumptions'!D7),'Assumptions'!D7&gt;=2000,'Assumptions'!D7&lt;=2100),DATE('Assumptions'!D7,1,1),"n.a."),"n.a.")</x:f>
        <x:v>46388</x:v>
      </x:c>
      <x:c r="H9" s="45" t="n">
        <x:f>IF(ISNUMBER('Assumptions'!D7),IF(AND('Assumptions'!D7=INT('Assumptions'!D7),'Assumptions'!D7&gt;=2000,'Assumptions'!D7&lt;=2100),DATE('Assumptions'!D7,2,1),"n.a."),"n.a.")</x:f>
        <x:v>46419</x:v>
      </x:c>
      <x:c r="I9" s="45" t="n">
        <x:f>IF(ISNUMBER('Assumptions'!D7),IF(AND('Assumptions'!D7=INT('Assumptions'!D7),'Assumptions'!D7&gt;=2000,'Assumptions'!D7&lt;=2100),DATE('Assumptions'!D7,3,1),"n.a."),"n.a.")</x:f>
        <x:v>46447</x:v>
      </x:c>
      <x:c r="J9" s="45" t="n">
        <x:f>IF(ISNUMBER('Assumptions'!D7),IF(AND('Assumptions'!D7=INT('Assumptions'!D7),'Assumptions'!D7&gt;=2000,'Assumptions'!D7&lt;=2100),DATE('Assumptions'!D7,4,1),"n.a."),"n.a.")</x:f>
        <x:v>46478</x:v>
      </x:c>
      <x:c r="K9" s="45" t="n">
        <x:f>IF(ISNUMBER('Assumptions'!D7),IF(AND('Assumptions'!D7=INT('Assumptions'!D7),'Assumptions'!D7&gt;=2000,'Assumptions'!D7&lt;=2100),DATE('Assumptions'!D7,5,1),"n.a."),"n.a.")</x:f>
        <x:v>46508</x:v>
      </x:c>
      <x:c r="L9" s="45" t="n">
        <x:f>IF(ISNUMBER('Assumptions'!D7),IF(AND('Assumptions'!D7=INT('Assumptions'!D7),'Assumptions'!D7&gt;=2000,'Assumptions'!D7&lt;=2100),DATE('Assumptions'!D7,6,1),"n.a."),"n.a.")</x:f>
        <x:v>46539</x:v>
      </x:c>
      <x:c r="M9" s="45" t="n">
        <x:f>IF(ISNUMBER('Assumptions'!D7),IF(AND('Assumptions'!D7=INT('Assumptions'!D7),'Assumptions'!D7&gt;=2000,'Assumptions'!D7&lt;=2100),DATE('Assumptions'!D7,7,1),"n.a."),"n.a.")</x:f>
        <x:v>46569</x:v>
      </x:c>
      <x:c r="N9" s="45" t="n">
        <x:f>IF(ISNUMBER('Assumptions'!D7),IF(AND('Assumptions'!D7=INT('Assumptions'!D7),'Assumptions'!D7&gt;=2000,'Assumptions'!D7&lt;=2100),DATE('Assumptions'!D7,8,1),"n.a."),"n.a.")</x:f>
        <x:v>46600</x:v>
      </x:c>
      <x:c r="O9" s="45" t="n">
        <x:f>IF(ISNUMBER('Assumptions'!D7),IF(AND('Assumptions'!D7=INT('Assumptions'!D7),'Assumptions'!D7&gt;=2000,'Assumptions'!D7&lt;=2100),DATE('Assumptions'!D7,9,1),"n.a."),"n.a.")</x:f>
        <x:v>46631</x:v>
      </x:c>
      <x:c r="P9" s="45" t="n">
        <x:f>IF(ISNUMBER('Assumptions'!D7),IF(AND('Assumptions'!D7=INT('Assumptions'!D7),'Assumptions'!D7&gt;=2000,'Assumptions'!D7&lt;=2100),DATE('Assumptions'!D7,10,1),"n.a."),"n.a.")</x:f>
        <x:v>46661</x:v>
      </x:c>
      <x:c r="Q9" s="45" t="n">
        <x:f>IF(ISNUMBER('Assumptions'!D7),IF(AND('Assumptions'!D7=INT('Assumptions'!D7),'Assumptions'!D7&gt;=2000,'Assumptions'!D7&lt;=2100),DATE('Assumptions'!D7,11,1),"n.a."),"n.a.")</x:f>
        <x:v>46692</x:v>
      </x:c>
      <x:c r="R9" s="45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Tenant 1 cash base rent</x:v>
      </x:c>
      <x:c r="D10" s="2" t="str">
        <x:v>USD</x:v>
      </x:c>
      <x:c r="E10" s="48" t="n">
        <x:f>IF(COUNT(G10:R10)=12,SUM(G10:R10),"n.a.")</x:f>
        <x:v>400000.00000000006</x:v>
      </x:c>
      <x:c r="F10" s="2"/>
      <x:c r="G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Schedule'!$F$10),ISNUMBER('Assumptions'!$D$61),ISNUMBER('Assumptions'!$D$64)),IF(1&lt;'Lease Schedule'!$G$10,'Lease Schedule'!$D$10*'Lease Schedule'!$E$10/12,IF(1&gt;=('Lease Schedule'!$G$10+'Lease Schedule'!$H$10+'Assumptions'!$D$73)+'Lease Schedule'!$I$10,'Lease Schedule'!$D$10*'Lease Schedule'!$F$10/12,0))*'Assumptions'!$D$61*'Assumptions'!$D$64,"n.a."),"n.a.")</x:f>
        <x:v>66666.66666666667</x:v>
      </x:c>
      <x:c r="H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Schedule'!$F$10),ISNUMBER('Assumptions'!$D$61),ISNUMBER('Assumptions'!$D$64)),IF(2&lt;'Lease Schedule'!$G$10,'Lease Schedule'!$D$10*'Lease Schedule'!$E$10/12,IF(2&gt;=('Lease Schedule'!$G$10+'Lease Schedule'!$H$10+'Assumptions'!$D$73)+'Lease Schedule'!$I$10,'Lease Schedule'!$D$10*'Lease Schedule'!$F$10/12,0))*'Assumptions'!$D$61*'Assumptions'!$D$64,"n.a."),"n.a.")</x:f>
        <x:v>66666.66666666667</x:v>
      </x:c>
      <x:c r="I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Schedule'!$F$10),ISNUMBER('Assumptions'!$D$61),ISNUMBER('Assumptions'!$D$64)),IF(3&lt;'Lease Schedule'!$G$10,'Lease Schedule'!$D$10*'Lease Schedule'!$E$10/12,IF(3&gt;=('Lease Schedule'!$G$10+'Lease Schedule'!$H$10+'Assumptions'!$D$73)+'Lease Schedule'!$I$10,'Lease Schedule'!$D$10*'Lease Schedule'!$F$10/12,0))*'Assumptions'!$D$61*'Assumptions'!$D$64,"n.a."),"n.a.")</x:f>
        <x:v>66666.66666666667</x:v>
      </x:c>
      <x:c r="J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Schedule'!$F$10),ISNUMBER('Assumptions'!$D$61),ISNUMBER('Assumptions'!$D$64)),IF(4&lt;'Lease Schedule'!$G$10,'Lease Schedule'!$D$10*'Lease Schedule'!$E$10/12,IF(4&gt;=('Lease Schedule'!$G$10+'Lease Schedule'!$H$10+'Assumptions'!$D$73)+'Lease Schedule'!$I$10,'Lease Schedule'!$D$10*'Lease Schedule'!$F$10/12,0))*'Assumptions'!$D$61*'Assumptions'!$D$64,"n.a."),"n.a.")</x:f>
        <x:v>66666.66666666667</x:v>
      </x:c>
      <x:c r="K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Schedule'!$F$10),ISNUMBER('Assumptions'!$D$61),ISNUMBER('Assumptions'!$D$64)),IF(5&lt;'Lease Schedule'!$G$10,'Lease Schedule'!$D$10*'Lease Schedule'!$E$10/12,IF(5&gt;=('Lease Schedule'!$G$10+'Lease Schedule'!$H$10+'Assumptions'!$D$73)+'Lease Schedule'!$I$10,'Lease Schedule'!$D$10*'Lease Schedule'!$F$10/12,0))*'Assumptions'!$D$61*'Assumptions'!$D$64,"n.a."),"n.a.")</x:f>
        <x:v>66666.66666666667</x:v>
      </x:c>
      <x:c r="L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Schedule'!$F$10),ISNUMBER('Assumptions'!$D$61),ISNUMBER('Assumptions'!$D$64)),IF(6&lt;'Lease Schedule'!$G$10,'Lease Schedule'!$D$10*'Lease Schedule'!$E$10/12,IF(6&gt;=('Lease Schedule'!$G$10+'Lease Schedule'!$H$10+'Assumptions'!$D$73)+'Lease Schedule'!$I$10,'Lease Schedule'!$D$10*'Lease Schedule'!$F$10/12,0))*'Assumptions'!$D$61*'Assumptions'!$D$64,"n.a."),"n.a.")</x:f>
        <x:v>66666.66666666667</x:v>
      </x:c>
      <x:c r="M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Schedule'!$F$10),ISNUMBER('Assumptions'!$D$61),ISNUMBER('Assumptions'!$D$64)),IF(7&lt;'Lease Schedule'!$G$10,'Lease Schedule'!$D$10*'Lease Schedule'!$E$10/12,IF(7&gt;=('Lease Schedule'!$G$10+'Lease Schedule'!$H$10+'Assumptions'!$D$73)+'Lease Schedule'!$I$10,'Lease Schedule'!$D$10*'Lease Schedule'!$F$10/12,0))*'Assumptions'!$D$61*'Assumptions'!$D$64,"n.a."),"n.a.")</x:f>
        <x:v>0</x:v>
      </x:c>
      <x:c r="N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Schedule'!$F$10),ISNUMBER('Assumptions'!$D$61),ISNUMBER('Assumptions'!$D$64)),IF(8&lt;'Lease Schedule'!$G$10,'Lease Schedule'!$D$10*'Lease Schedule'!$E$10/12,IF(8&gt;=('Lease Schedule'!$G$10+'Lease Schedule'!$H$10+'Assumptions'!$D$73)+'Lease Schedule'!$I$10,'Lease Schedule'!$D$10*'Lease Schedule'!$F$10/12,0))*'Assumptions'!$D$61*'Assumptions'!$D$64,"n.a."),"n.a.")</x:f>
        <x:v>0</x:v>
      </x:c>
      <x:c r="O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Schedule'!$F$10),ISNUMBER('Assumptions'!$D$61),ISNUMBER('Assumptions'!$D$64)),IF(9&lt;'Lease Schedule'!$G$10,'Lease Schedule'!$D$10*'Lease Schedule'!$E$10/12,IF(9&gt;=('Lease Schedule'!$G$10+'Lease Schedule'!$H$10+'Assumptions'!$D$73)+'Lease Schedule'!$I$10,'Lease Schedule'!$D$10*'Lease Schedule'!$F$10/12,0))*'Assumptions'!$D$61*'Assumptions'!$D$64,"n.a."),"n.a.")</x:f>
        <x:v>0</x:v>
      </x:c>
      <x:c r="P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Schedule'!$F$10),ISNUMBER('Assumptions'!$D$61),ISNUMBER('Assumptions'!$D$64)),IF(10&lt;'Lease Schedule'!$G$10,'Lease Schedule'!$D$10*'Lease Schedule'!$E$10/12,IF(10&gt;=('Lease Schedule'!$G$10+'Lease Schedule'!$H$10+'Assumptions'!$D$73)+'Lease Schedule'!$I$10,'Lease Schedule'!$D$10*'Lease Schedule'!$F$10/12,0))*'Assumptions'!$D$61*'Assumptions'!$D$64,"n.a."),"n.a.")</x:f>
        <x:v>0</x:v>
      </x:c>
      <x:c r="Q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Schedule'!$F$10),ISNUMBER('Assumptions'!$D$61),ISNUMBER('Assumptions'!$D$64)),IF(11&lt;'Lease Schedule'!$G$10,'Lease Schedule'!$D$10*'Lease Schedule'!$E$10/12,IF(11&gt;=('Lease Schedule'!$G$10+'Lease Schedule'!$H$10+'Assumptions'!$D$73)+'Lease Schedule'!$I$10,'Lease Schedule'!$D$10*'Lease Schedule'!$F$10/12,0))*'Assumptions'!$D$61*'Assumptions'!$D$64,"n.a."),"n.a.")</x:f>
        <x:v>0</x:v>
      </x:c>
      <x:c r="R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Schedule'!$F$10),ISNUMBER('Assumptions'!$D$61),ISNUMBER('Assumptions'!$D$64)),IF(12&lt;'Lease Schedule'!$G$10,'Lease Schedule'!$D$10*'Lease Schedule'!$E$10/12,IF(12&gt;=('Lease Schedule'!$G$10+'Lease Schedule'!$H$10+'Assumptions'!$D$73)+'Lease Schedule'!$I$10,'Lease Schedule'!$D$10*'Lease Schedule'!$F$10/12,0))*'Assumptions'!$D$61*'Assumptions'!$D$64,"n.a."),"n.a.")</x:f>
        <x:v>0</x:v>
      </x:c>
    </x:row>
    <x:row r="11" ht="21" customHeight="1">
      <x:c r="A11" s="2"/>
      <x:c r="B11" s="2"/>
      <x:c r="C11" s="2" t="str">
        <x:v>Tenant 1 recoveries</x:v>
      </x:c>
      <x:c r="D11" s="2" t="str">
        <x:v>USD</x:v>
      </x:c>
      <x:c r="E11" s="48" t="n">
        <x:f>IF(COUNT(G11:R11)=12,SUM(G11:R11),"n.a.")</x:f>
        <x:v>79166.66666666664</x:v>
      </x:c>
      <x:c r="F11" s="2"/>
      <x:c r="G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Schedule'!$L$10/12*IF(AND(1&gt;='Lease Schedule'!$G$10,1&lt;'Lease Schedule'!$G$10+'Lease Schedule'!$H$10+'Assumptions'!$D$73),0,1)*'Assumptions'!$D$76*'Assumptions'!$D$61,"n.a."),"n.a.")</x:f>
        <x:v>9895.833333333332</x:v>
      </x:c>
      <x:c r="H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Schedule'!$L$10/12*IF(AND(2&gt;='Lease Schedule'!$G$10,2&lt;'Lease Schedule'!$G$10+'Lease Schedule'!$H$10+'Assumptions'!$D$73),0,1)*'Assumptions'!$D$76*'Assumptions'!$D$61,"n.a."),"n.a.")</x:f>
        <x:v>9895.833333333332</x:v>
      </x:c>
      <x:c r="I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Schedule'!$L$10/12*IF(AND(3&gt;='Lease Schedule'!$G$10,3&lt;'Lease Schedule'!$G$10+'Lease Schedule'!$H$10+'Assumptions'!$D$73),0,1)*'Assumptions'!$D$76*'Assumptions'!$D$61,"n.a."),"n.a.")</x:f>
        <x:v>9895.833333333332</x:v>
      </x:c>
      <x:c r="J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Schedule'!$L$10/12*IF(AND(4&gt;='Lease Schedule'!$G$10,4&lt;'Lease Schedule'!$G$10+'Lease Schedule'!$H$10+'Assumptions'!$D$73),0,1)*'Assumptions'!$D$76*'Assumptions'!$D$61,"n.a."),"n.a.")</x:f>
        <x:v>9895.833333333332</x:v>
      </x:c>
      <x:c r="K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Schedule'!$L$10/12*IF(AND(5&gt;='Lease Schedule'!$G$10,5&lt;'Lease Schedule'!$G$10+'Lease Schedule'!$H$10+'Assumptions'!$D$73),0,1)*'Assumptions'!$D$76*'Assumptions'!$D$61,"n.a."),"n.a.")</x:f>
        <x:v>9895.833333333332</x:v>
      </x:c>
      <x:c r="L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Schedule'!$L$10/12*IF(AND(6&gt;='Lease Schedule'!$G$10,6&lt;'Lease Schedule'!$G$10+'Lease Schedule'!$H$10+'Assumptions'!$D$73),0,1)*'Assumptions'!$D$76*'Assumptions'!$D$61,"n.a."),"n.a.")</x:f>
        <x:v>9895.833333333332</x:v>
      </x:c>
      <x:c r="M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Schedule'!$L$10/12*IF(AND(7&gt;='Lease Schedule'!$G$10,7&lt;'Lease Schedule'!$G$10+'Lease Schedule'!$H$10+'Assumptions'!$D$73),0,1)*'Assumptions'!$D$76*'Assumptions'!$D$61,"n.a."),"n.a.")</x:f>
        <x:v>0</x:v>
      </x:c>
      <x:c r="N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Schedule'!$L$10/12*IF(AND(8&gt;='Lease Schedule'!$G$10,8&lt;'Lease Schedule'!$G$10+'Lease Schedule'!$H$10+'Assumptions'!$D$73),0,1)*'Assumptions'!$D$76*'Assumptions'!$D$61,"n.a."),"n.a.")</x:f>
        <x:v>0</x:v>
      </x:c>
      <x:c r="O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Schedule'!$L$10/12*IF(AND(9&gt;='Lease Schedule'!$G$10,9&lt;'Lease Schedule'!$G$10+'Lease Schedule'!$H$10+'Assumptions'!$D$73),0,1)*'Assumptions'!$D$76*'Assumptions'!$D$61,"n.a."),"n.a.")</x:f>
        <x:v>0</x:v>
      </x:c>
      <x:c r="P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Schedule'!$L$10/12*IF(AND(10&gt;='Lease Schedule'!$G$10,10&lt;'Lease Schedule'!$G$10+'Lease Schedule'!$H$10+'Assumptions'!$D$73),0,1)*'Assumptions'!$D$76*'Assumptions'!$D$61,"n.a."),"n.a.")</x:f>
        <x:v>0</x:v>
      </x:c>
      <x:c r="Q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Schedule'!$L$10/12*IF(AND(11&gt;='Lease Schedule'!$G$10,11&lt;'Lease Schedule'!$G$10+'Lease Schedule'!$H$10+'Assumptions'!$D$73),0,1)*'Assumptions'!$D$76*'Assumptions'!$D$61,"n.a."),"n.a.")</x:f>
        <x:v>9895.833333333332</x:v>
      </x:c>
      <x:c r="R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Schedule'!$L$10/12*IF(AND(12&gt;='Lease Schedule'!$G$10,12&lt;'Lease Schedule'!$G$10+'Lease Schedule'!$H$10+'Assumptions'!$D$73),0,1)*'Assumptions'!$D$76*'Assumptions'!$D$61,"n.a."),"n.a.")</x:f>
        <x:v>9895.833333333332</x:v>
      </x:c>
    </x:row>
    <x:row r="12" ht="21" customHeight="1">
      <x:c r="A12" s="2"/>
      <x:c r="B12" s="2"/>
      <x:c r="C12" s="2" t="str">
        <x:v>Tenant 1 TI and LC</x:v>
      </x:c>
      <x:c r="D12" s="2" t="str">
        <x:v>USD</x:v>
      </x:c>
      <x:c r="E12" s="48" t="n">
        <x:f>IF(COUNT(G12:R12)=12,SUM(G12:R12),"n.a.")</x:f>
        <x:v>1475000</x:v>
      </x:c>
      <x:c r="F12" s="2"/>
      <x:c r="G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Schedule'!$K$10),ISNUMBER('Assumptions'!$D$70)),IF(1='Lease Schedule'!$G$10+'Lease Schedule'!$H$10+'Assumptions'!$D$73,'Lease Schedule'!$D$10*('Lease Schedule'!$J$10+'Lease Schedule'!$F$10*'Assumptions'!$D$79*'Lease Schedule'!$K$10),0)*'Assumptions'!$D$70,"n.a."),"n.a.")</x:f>
        <x:v>0</x:v>
      </x:c>
      <x:c r="H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Schedule'!$K$10),ISNUMBER('Assumptions'!$D$70)),IF(2='Lease Schedule'!$G$10+'Lease Schedule'!$H$10+'Assumptions'!$D$73,'Lease Schedule'!$D$10*('Lease Schedule'!$J$10+'Lease Schedule'!$F$10*'Assumptions'!$D$79*'Lease Schedule'!$K$10),0)*'Assumptions'!$D$70,"n.a."),"n.a.")</x:f>
        <x:v>0</x:v>
      </x:c>
      <x:c r="I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Schedule'!$K$10),ISNUMBER('Assumptions'!$D$70)),IF(3='Lease Schedule'!$G$10+'Lease Schedule'!$H$10+'Assumptions'!$D$73,'Lease Schedule'!$D$10*('Lease Schedule'!$J$10+'Lease Schedule'!$F$10*'Assumptions'!$D$79*'Lease Schedule'!$K$10),0)*'Assumptions'!$D$70,"n.a."),"n.a.")</x:f>
        <x:v>0</x:v>
      </x:c>
      <x:c r="J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Schedule'!$K$10),ISNUMBER('Assumptions'!$D$70)),IF(4='Lease Schedule'!$G$10+'Lease Schedule'!$H$10+'Assumptions'!$D$73,'Lease Schedule'!$D$10*('Lease Schedule'!$J$10+'Lease Schedule'!$F$10*'Assumptions'!$D$79*'Lease Schedule'!$K$10),0)*'Assumptions'!$D$70,"n.a."),"n.a.")</x:f>
        <x:v>0</x:v>
      </x:c>
      <x:c r="K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Schedule'!$K$10),ISNUMBER('Assumptions'!$D$70)),IF(5='Lease Schedule'!$G$10+'Lease Schedule'!$H$10+'Assumptions'!$D$73,'Lease Schedule'!$D$10*('Lease Schedule'!$J$10+'Lease Schedule'!$F$10*'Assumptions'!$D$79*'Lease Schedule'!$K$10),0)*'Assumptions'!$D$70,"n.a."),"n.a.")</x:f>
        <x:v>0</x:v>
      </x:c>
      <x:c r="L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Schedule'!$K$10),ISNUMBER('Assumptions'!$D$70)),IF(6='Lease Schedule'!$G$10+'Lease Schedule'!$H$10+'Assumptions'!$D$73,'Lease Schedule'!$D$10*('Lease Schedule'!$J$10+'Lease Schedule'!$F$10*'Assumptions'!$D$79*'Lease Schedule'!$K$10),0)*'Assumptions'!$D$70,"n.a."),"n.a.")</x:f>
        <x:v>0</x:v>
      </x:c>
      <x:c r="M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Schedule'!$K$10),ISNUMBER('Assumptions'!$D$70)),IF(7='Lease Schedule'!$G$10+'Lease Schedule'!$H$10+'Assumptions'!$D$73,'Lease Schedule'!$D$10*('Lease Schedule'!$J$10+'Lease Schedule'!$F$10*'Assumptions'!$D$79*'Lease Schedule'!$K$10),0)*'Assumptions'!$D$70,"n.a."),"n.a.")</x:f>
        <x:v>0</x:v>
      </x:c>
      <x:c r="N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Schedule'!$K$10),ISNUMBER('Assumptions'!$D$70)),IF(8='Lease Schedule'!$G$10+'Lease Schedule'!$H$10+'Assumptions'!$D$73,'Lease Schedule'!$D$10*('Lease Schedule'!$J$10+'Lease Schedule'!$F$10*'Assumptions'!$D$79*'Lease Schedule'!$K$10),0)*'Assumptions'!$D$70,"n.a."),"n.a.")</x:f>
        <x:v>0</x:v>
      </x:c>
      <x:c r="O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Schedule'!$K$10),ISNUMBER('Assumptions'!$D$70)),IF(9='Lease Schedule'!$G$10+'Lease Schedule'!$H$10+'Assumptions'!$D$73,'Lease Schedule'!$D$10*('Lease Schedule'!$J$10+'Lease Schedule'!$F$10*'Assumptions'!$D$79*'Lease Schedule'!$K$10),0)*'Assumptions'!$D$70,"n.a."),"n.a.")</x:f>
        <x:v>0</x:v>
      </x:c>
      <x:c r="P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Schedule'!$K$10),ISNUMBER('Assumptions'!$D$70)),IF(10='Lease Schedule'!$G$10+'Lease Schedule'!$H$10+'Assumptions'!$D$73,'Lease Schedule'!$D$10*('Lease Schedule'!$J$10+'Lease Schedule'!$F$10*'Assumptions'!$D$79*'Lease Schedule'!$K$10),0)*'Assumptions'!$D$70,"n.a."),"n.a.")</x:f>
        <x:v>0</x:v>
      </x:c>
      <x:c r="Q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Schedule'!$K$10),ISNUMBER('Assumptions'!$D$70)),IF(11='Lease Schedule'!$G$10+'Lease Schedule'!$H$10+'Assumptions'!$D$73,'Lease Schedule'!$D$10*('Lease Schedule'!$J$10+'Lease Schedule'!$F$10*'Assumptions'!$D$79*'Lease Schedule'!$K$10),0)*'Assumptions'!$D$70,"n.a."),"n.a.")</x:f>
        <x:v>1475000</x:v>
      </x:c>
      <x:c r="R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Schedule'!$K$10),ISNUMBER('Assumptions'!$D$70)),IF(12='Lease Schedule'!$G$10+'Lease Schedule'!$H$10+'Assumptions'!$D$73,'Lease Schedule'!$D$10*('Lease Schedule'!$J$10+'Lease Schedule'!$F$10*'Assumptions'!$D$79*'Lease Schedule'!$K$10),0)*'Assumptions'!$D$70,"n.a."),"n.a.")</x:f>
        <x:v>0</x:v>
      </x:c>
    </x:row>
    <x:row r="13" ht="21" customHeight="1">
      <x:c r="A13" s="2"/>
      <x:c r="B13" s="2"/>
      <x:c r="C13" s="2" t="str">
        <x:v>Tenant 2 cash base rent</x:v>
      </x:c>
      <x:c r="D13" s="2" t="str">
        <x:v>USD</x:v>
      </x:c>
      <x:c r="E13" s="48" t="n">
        <x:f>IF(COUNT(G13:R13)=12,SUM(G13:R13),"n.a.")</x:f>
        <x:v>525000</x:v>
      </x:c>
      <x:c r="F13" s="2"/>
      <x:c r="G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Schedule'!$F$11),ISNUMBER('Assumptions'!$D$61),ISNUMBER('Assumptions'!$D$64)),IF(1&lt;'Lease Schedule'!$G$11,'Lease Schedule'!$D$11*'Lease Schedule'!$E$11/12,IF(1&gt;=('Lease Schedule'!$G$11+'Lease Schedule'!$H$11+'Assumptions'!$D$73)+'Lease Schedule'!$I$11,'Lease Schedule'!$D$11*'Lease Schedule'!$F$11/12,0))*'Assumptions'!$D$61*'Assumptions'!$D$64,"n.a."),"n.a.")</x:f>
        <x:v>58333.333333333336</x:v>
      </x:c>
      <x:c r="H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Schedule'!$F$11),ISNUMBER('Assumptions'!$D$61),ISNUMBER('Assumptions'!$D$64)),IF(2&lt;'Lease Schedule'!$G$11,'Lease Schedule'!$D$11*'Lease Schedule'!$E$11/12,IF(2&gt;=('Lease Schedule'!$G$11+'Lease Schedule'!$H$11+'Assumptions'!$D$73)+'Lease Schedule'!$I$11,'Lease Schedule'!$D$11*'Lease Schedule'!$F$11/12,0))*'Assumptions'!$D$61*'Assumptions'!$D$64,"n.a."),"n.a.")</x:f>
        <x:v>58333.333333333336</x:v>
      </x:c>
      <x:c r="I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Schedule'!$F$11),ISNUMBER('Assumptions'!$D$61),ISNUMBER('Assumptions'!$D$64)),IF(3&lt;'Lease Schedule'!$G$11,'Lease Schedule'!$D$11*'Lease Schedule'!$E$11/12,IF(3&gt;=('Lease Schedule'!$G$11+'Lease Schedule'!$H$11+'Assumptions'!$D$73)+'Lease Schedule'!$I$11,'Lease Schedule'!$D$11*'Lease Schedule'!$F$11/12,0))*'Assumptions'!$D$61*'Assumptions'!$D$64,"n.a."),"n.a.")</x:f>
        <x:v>58333.333333333336</x:v>
      </x:c>
      <x:c r="J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Schedule'!$F$11),ISNUMBER('Assumptions'!$D$61),ISNUMBER('Assumptions'!$D$64)),IF(4&lt;'Lease Schedule'!$G$11,'Lease Schedule'!$D$11*'Lease Schedule'!$E$11/12,IF(4&gt;=('Lease Schedule'!$G$11+'Lease Schedule'!$H$11+'Assumptions'!$D$73)+'Lease Schedule'!$I$11,'Lease Schedule'!$D$11*'Lease Schedule'!$F$11/12,0))*'Assumptions'!$D$61*'Assumptions'!$D$64,"n.a."),"n.a.")</x:f>
        <x:v>58333.333333333336</x:v>
      </x:c>
      <x:c r="K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Schedule'!$F$11),ISNUMBER('Assumptions'!$D$61),ISNUMBER('Assumptions'!$D$64)),IF(5&lt;'Lease Schedule'!$G$11,'Lease Schedule'!$D$11*'Lease Schedule'!$E$11/12,IF(5&gt;=('Lease Schedule'!$G$11+'Lease Schedule'!$H$11+'Assumptions'!$D$73)+'Lease Schedule'!$I$11,'Lease Schedule'!$D$11*'Lease Schedule'!$F$11/12,0))*'Assumptions'!$D$61*'Assumptions'!$D$64,"n.a."),"n.a.")</x:f>
        <x:v>58333.333333333336</x:v>
      </x:c>
      <x:c r="L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Schedule'!$F$11),ISNUMBER('Assumptions'!$D$61),ISNUMBER('Assumptions'!$D$64)),IF(6&lt;'Lease Schedule'!$G$11,'Lease Schedule'!$D$11*'Lease Schedule'!$E$11/12,IF(6&gt;=('Lease Schedule'!$G$11+'Lease Schedule'!$H$11+'Assumptions'!$D$73)+'Lease Schedule'!$I$11,'Lease Schedule'!$D$11*'Lease Schedule'!$F$11/12,0))*'Assumptions'!$D$61*'Assumptions'!$D$64,"n.a."),"n.a.")</x:f>
        <x:v>58333.333333333336</x:v>
      </x:c>
      <x:c r="M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Schedule'!$F$11),ISNUMBER('Assumptions'!$D$61),ISNUMBER('Assumptions'!$D$64)),IF(7&lt;'Lease Schedule'!$G$11,'Lease Schedule'!$D$11*'Lease Schedule'!$E$11/12,IF(7&gt;=('Lease Schedule'!$G$11+'Lease Schedule'!$H$11+'Assumptions'!$D$73)+'Lease Schedule'!$I$11,'Lease Schedule'!$D$11*'Lease Schedule'!$F$11/12,0))*'Assumptions'!$D$61*'Assumptions'!$D$64,"n.a."),"n.a.")</x:f>
        <x:v>58333.333333333336</x:v>
      </x:c>
      <x:c r="N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Schedule'!$F$11),ISNUMBER('Assumptions'!$D$61),ISNUMBER('Assumptions'!$D$64)),IF(8&lt;'Lease Schedule'!$G$11,'Lease Schedule'!$D$11*'Lease Schedule'!$E$11/12,IF(8&gt;=('Lease Schedule'!$G$11+'Lease Schedule'!$H$11+'Assumptions'!$D$73)+'Lease Schedule'!$I$11,'Lease Schedule'!$D$11*'Lease Schedule'!$F$11/12,0))*'Assumptions'!$D$61*'Assumptions'!$D$64,"n.a."),"n.a.")</x:f>
        <x:v>58333.333333333336</x:v>
      </x:c>
      <x:c r="O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Schedule'!$F$11),ISNUMBER('Assumptions'!$D$61),ISNUMBER('Assumptions'!$D$64)),IF(9&lt;'Lease Schedule'!$G$11,'Lease Schedule'!$D$11*'Lease Schedule'!$E$11/12,IF(9&gt;=('Lease Schedule'!$G$11+'Lease Schedule'!$H$11+'Assumptions'!$D$73)+'Lease Schedule'!$I$11,'Lease Schedule'!$D$11*'Lease Schedule'!$F$11/12,0))*'Assumptions'!$D$61*'Assumptions'!$D$64,"n.a."),"n.a.")</x:f>
        <x:v>58333.333333333336</x:v>
      </x:c>
      <x:c r="P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Schedule'!$F$11),ISNUMBER('Assumptions'!$D$61),ISNUMBER('Assumptions'!$D$64)),IF(10&lt;'Lease Schedule'!$G$11,'Lease Schedule'!$D$11*'Lease Schedule'!$E$11/12,IF(10&gt;=('Lease Schedule'!$G$11+'Lease Schedule'!$H$11+'Assumptions'!$D$73)+'Lease Schedule'!$I$11,'Lease Schedule'!$D$11*'Lease Schedule'!$F$11/12,0))*'Assumptions'!$D$61*'Assumptions'!$D$64,"n.a."),"n.a.")</x:f>
        <x:v>0</x:v>
      </x:c>
      <x:c r="Q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Schedule'!$F$11),ISNUMBER('Assumptions'!$D$61),ISNUMBER('Assumptions'!$D$64)),IF(11&lt;'Lease Schedule'!$G$11,'Lease Schedule'!$D$11*'Lease Schedule'!$E$11/12,IF(11&gt;=('Lease Schedule'!$G$11+'Lease Schedule'!$H$11+'Assumptions'!$D$73)+'Lease Schedule'!$I$11,'Lease Schedule'!$D$11*'Lease Schedule'!$F$11/12,0))*'Assumptions'!$D$61*'Assumptions'!$D$64,"n.a."),"n.a.")</x:f>
        <x:v>0</x:v>
      </x:c>
      <x:c r="R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Schedule'!$F$11),ISNUMBER('Assumptions'!$D$61),ISNUMBER('Assumptions'!$D$64)),IF(12&lt;'Lease Schedule'!$G$11,'Lease Schedule'!$D$11*'Lease Schedule'!$E$11/12,IF(12&gt;=('Lease Schedule'!$G$11+'Lease Schedule'!$H$11+'Assumptions'!$D$73)+'Lease Schedule'!$I$11,'Lease Schedule'!$D$11*'Lease Schedule'!$F$11/12,0))*'Assumptions'!$D$61*'Assumptions'!$D$64,"n.a."),"n.a.")</x:f>
        <x:v>0</x:v>
      </x:c>
    </x:row>
    <x:row r="14" ht="21" customHeight="1">
      <x:c r="A14" s="2"/>
      <x:c r="B14" s="2"/>
      <x:c r="C14" s="2" t="str">
        <x:v>Tenant 2 recoveries</x:v>
      </x:c>
      <x:c r="D14" s="2" t="str">
        <x:v>USD</x:v>
      </x:c>
      <x:c r="E14" s="48" t="n">
        <x:f>IF(COUNT(G14:R14)=12,SUM(G14:R14),"n.a.")</x:f>
        <x:v>71250</x:v>
      </x:c>
      <x:c r="F14" s="2"/>
      <x:c r="G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Schedule'!$L$11/12*IF(AND(1&gt;='Lease Schedule'!$G$11,1&lt;'Lease Schedule'!$G$11+'Lease Schedule'!$H$11+'Assumptions'!$D$73),0,1)*'Assumptions'!$D$76*'Assumptions'!$D$61,"n.a."),"n.a.")</x:f>
        <x:v>7916.666666666667</x:v>
      </x:c>
      <x:c r="H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Schedule'!$L$11/12*IF(AND(2&gt;='Lease Schedule'!$G$11,2&lt;'Lease Schedule'!$G$11+'Lease Schedule'!$H$11+'Assumptions'!$D$73),0,1)*'Assumptions'!$D$76*'Assumptions'!$D$61,"n.a."),"n.a.")</x:f>
        <x:v>7916.666666666667</x:v>
      </x:c>
      <x:c r="I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Schedule'!$L$11/12*IF(AND(3&gt;='Lease Schedule'!$G$11,3&lt;'Lease Schedule'!$G$11+'Lease Schedule'!$H$11+'Assumptions'!$D$73),0,1)*'Assumptions'!$D$76*'Assumptions'!$D$61,"n.a."),"n.a.")</x:f>
        <x:v>7916.666666666667</x:v>
      </x:c>
      <x:c r="J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Schedule'!$L$11/12*IF(AND(4&gt;='Lease Schedule'!$G$11,4&lt;'Lease Schedule'!$G$11+'Lease Schedule'!$H$11+'Assumptions'!$D$73),0,1)*'Assumptions'!$D$76*'Assumptions'!$D$61,"n.a."),"n.a.")</x:f>
        <x:v>7916.666666666667</x:v>
      </x:c>
      <x:c r="K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Schedule'!$L$11/12*IF(AND(5&gt;='Lease Schedule'!$G$11,5&lt;'Lease Schedule'!$G$11+'Lease Schedule'!$H$11+'Assumptions'!$D$73),0,1)*'Assumptions'!$D$76*'Assumptions'!$D$61,"n.a."),"n.a.")</x:f>
        <x:v>7916.666666666667</x:v>
      </x:c>
      <x:c r="L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Schedule'!$L$11/12*IF(AND(6&gt;='Lease Schedule'!$G$11,6&lt;'Lease Schedule'!$G$11+'Lease Schedule'!$H$11+'Assumptions'!$D$73),0,1)*'Assumptions'!$D$76*'Assumptions'!$D$61,"n.a."),"n.a.")</x:f>
        <x:v>7916.666666666667</x:v>
      </x:c>
      <x:c r="M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Schedule'!$L$11/12*IF(AND(7&gt;='Lease Schedule'!$G$11,7&lt;'Lease Schedule'!$G$11+'Lease Schedule'!$H$11+'Assumptions'!$D$73),0,1)*'Assumptions'!$D$76*'Assumptions'!$D$61,"n.a."),"n.a.")</x:f>
        <x:v>7916.666666666667</x:v>
      </x:c>
      <x:c r="N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Schedule'!$L$11/12*IF(AND(8&gt;='Lease Schedule'!$G$11,8&lt;'Lease Schedule'!$G$11+'Lease Schedule'!$H$11+'Assumptions'!$D$73),0,1)*'Assumptions'!$D$76*'Assumptions'!$D$61,"n.a."),"n.a.")</x:f>
        <x:v>7916.666666666667</x:v>
      </x:c>
      <x:c r="O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Schedule'!$L$11/12*IF(AND(9&gt;='Lease Schedule'!$G$11,9&lt;'Lease Schedule'!$G$11+'Lease Schedule'!$H$11+'Assumptions'!$D$73),0,1)*'Assumptions'!$D$76*'Assumptions'!$D$61,"n.a."),"n.a.")</x:f>
        <x:v>7916.666666666667</x:v>
      </x:c>
      <x:c r="P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Schedule'!$L$11/12*IF(AND(10&gt;='Lease Schedule'!$G$11,10&lt;'Lease Schedule'!$G$11+'Lease Schedule'!$H$11+'Assumptions'!$D$73),0,1)*'Assumptions'!$D$76*'Assumptions'!$D$61,"n.a."),"n.a.")</x:f>
        <x:v>0</x:v>
      </x:c>
      <x:c r="Q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Schedule'!$L$11/12*IF(AND(11&gt;='Lease Schedule'!$G$11,11&lt;'Lease Schedule'!$G$11+'Lease Schedule'!$H$11+'Assumptions'!$D$73),0,1)*'Assumptions'!$D$76*'Assumptions'!$D$61,"n.a."),"n.a.")</x:f>
        <x:v>0</x:v>
      </x:c>
      <x:c r="R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Schedule'!$L$11/12*IF(AND(12&gt;='Lease Schedule'!$G$11,12&lt;'Lease Schedule'!$G$11+'Lease Schedule'!$H$11+'Assumptions'!$D$73),0,1)*'Assumptions'!$D$76*'Assumptions'!$D$61,"n.a."),"n.a.")</x:f>
        <x:v>0</x:v>
      </x:c>
    </x:row>
    <x:row r="15" ht="21" customHeight="1">
      <x:c r="A15" s="2"/>
      <x:c r="B15" s="2"/>
      <x:c r="C15" s="2" t="str">
        <x:v>Tenant 2 TI and LC</x:v>
      </x:c>
      <x:c r="D15" s="2" t="str">
        <x:v>USD</x:v>
      </x:c>
      <x:c r="E15" s="48" t="n">
        <x:f>IF(COUNT(G15:R15)=12,SUM(G15:R15),"n.a.")</x:f>
        <x:v>0</x:v>
      </x:c>
      <x:c r="F15" s="2"/>
      <x:c r="G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Schedule'!$K$11),ISNUMBER('Assumptions'!$D$70)),IF(1='Lease Schedule'!$G$11+'Lease Schedule'!$H$11+'Assumptions'!$D$73,'Lease Schedule'!$D$11*('Lease Schedule'!$J$11+'Lease Schedule'!$F$11*'Assumptions'!$D$79*'Lease Schedule'!$K$11),0)*'Assumptions'!$D$70,"n.a."),"n.a.")</x:f>
        <x:v>0</x:v>
      </x:c>
      <x:c r="H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Schedule'!$K$11),ISNUMBER('Assumptions'!$D$70)),IF(2='Lease Schedule'!$G$11+'Lease Schedule'!$H$11+'Assumptions'!$D$73,'Lease Schedule'!$D$11*('Lease Schedule'!$J$11+'Lease Schedule'!$F$11*'Assumptions'!$D$79*'Lease Schedule'!$K$11),0)*'Assumptions'!$D$70,"n.a."),"n.a.")</x:f>
        <x:v>0</x:v>
      </x:c>
      <x:c r="I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Schedule'!$K$11),ISNUMBER('Assumptions'!$D$70)),IF(3='Lease Schedule'!$G$11+'Lease Schedule'!$H$11+'Assumptions'!$D$73,'Lease Schedule'!$D$11*('Lease Schedule'!$J$11+'Lease Schedule'!$F$11*'Assumptions'!$D$79*'Lease Schedule'!$K$11),0)*'Assumptions'!$D$70,"n.a."),"n.a.")</x:f>
        <x:v>0</x:v>
      </x:c>
      <x:c r="J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Schedule'!$K$11),ISNUMBER('Assumptions'!$D$70)),IF(4='Lease Schedule'!$G$11+'Lease Schedule'!$H$11+'Assumptions'!$D$73,'Lease Schedule'!$D$11*('Lease Schedule'!$J$11+'Lease Schedule'!$F$11*'Assumptions'!$D$79*'Lease Schedule'!$K$11),0)*'Assumptions'!$D$70,"n.a."),"n.a.")</x:f>
        <x:v>0</x:v>
      </x:c>
      <x:c r="K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Schedule'!$K$11),ISNUMBER('Assumptions'!$D$70)),IF(5='Lease Schedule'!$G$11+'Lease Schedule'!$H$11+'Assumptions'!$D$73,'Lease Schedule'!$D$11*('Lease Schedule'!$J$11+'Lease Schedule'!$F$11*'Assumptions'!$D$79*'Lease Schedule'!$K$11),0)*'Assumptions'!$D$70,"n.a."),"n.a.")</x:f>
        <x:v>0</x:v>
      </x:c>
      <x:c r="L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Schedule'!$K$11),ISNUMBER('Assumptions'!$D$70)),IF(6='Lease Schedule'!$G$11+'Lease Schedule'!$H$11+'Assumptions'!$D$73,'Lease Schedule'!$D$11*('Lease Schedule'!$J$11+'Lease Schedule'!$F$11*'Assumptions'!$D$79*'Lease Schedule'!$K$11),0)*'Assumptions'!$D$70,"n.a."),"n.a.")</x:f>
        <x:v>0</x:v>
      </x:c>
      <x:c r="M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Schedule'!$K$11),ISNUMBER('Assumptions'!$D$70)),IF(7='Lease Schedule'!$G$11+'Lease Schedule'!$H$11+'Assumptions'!$D$73,'Lease Schedule'!$D$11*('Lease Schedule'!$J$11+'Lease Schedule'!$F$11*'Assumptions'!$D$79*'Lease Schedule'!$K$11),0)*'Assumptions'!$D$70,"n.a."),"n.a.")</x:f>
        <x:v>0</x:v>
      </x:c>
      <x:c r="N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Schedule'!$K$11),ISNUMBER('Assumptions'!$D$70)),IF(8='Lease Schedule'!$G$11+'Lease Schedule'!$H$11+'Assumptions'!$D$73,'Lease Schedule'!$D$11*('Lease Schedule'!$J$11+'Lease Schedule'!$F$11*'Assumptions'!$D$79*'Lease Schedule'!$K$11),0)*'Assumptions'!$D$70,"n.a."),"n.a.")</x:f>
        <x:v>0</x:v>
      </x:c>
      <x:c r="O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Schedule'!$K$11),ISNUMBER('Assumptions'!$D$70)),IF(9='Lease Schedule'!$G$11+'Lease Schedule'!$H$11+'Assumptions'!$D$73,'Lease Schedule'!$D$11*('Lease Schedule'!$J$11+'Lease Schedule'!$F$11*'Assumptions'!$D$79*'Lease Schedule'!$K$11),0)*'Assumptions'!$D$70,"n.a."),"n.a.")</x:f>
        <x:v>0</x:v>
      </x:c>
      <x:c r="P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Schedule'!$K$11),ISNUMBER('Assumptions'!$D$70)),IF(10='Lease Schedule'!$G$11+'Lease Schedule'!$H$11+'Assumptions'!$D$73,'Lease Schedule'!$D$11*('Lease Schedule'!$J$11+'Lease Schedule'!$F$11*'Assumptions'!$D$79*'Lease Schedule'!$K$11),0)*'Assumptions'!$D$70,"n.a."),"n.a.")</x:f>
        <x:v>0</x:v>
      </x:c>
      <x:c r="Q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Schedule'!$K$11),ISNUMBER('Assumptions'!$D$70)),IF(11='Lease Schedule'!$G$11+'Lease Schedule'!$H$11+'Assumptions'!$D$73,'Lease Schedule'!$D$11*('Lease Schedule'!$J$11+'Lease Schedule'!$F$11*'Assumptions'!$D$79*'Lease Schedule'!$K$11),0)*'Assumptions'!$D$70,"n.a."),"n.a.")</x:f>
        <x:v>0</x:v>
      </x:c>
      <x:c r="R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Schedule'!$K$11),ISNUMBER('Assumptions'!$D$70)),IF(12='Lease Schedule'!$G$11+'Lease Schedule'!$H$11+'Assumptions'!$D$73,'Lease Schedule'!$D$11*('Lease Schedule'!$J$11+'Lease Schedule'!$F$11*'Assumptions'!$D$79*'Lease Schedule'!$K$11),0)*'Assumptions'!$D$70,"n.a."),"n.a.")</x:f>
        <x:v>0</x:v>
      </x:c>
    </x:row>
    <x:row r="16" ht="21" customHeight="1">
      <x:c r="A16" s="2"/>
      <x:c r="B16" s="2"/>
      <x:c r="C16" s="2" t="str">
        <x:v>Tenant 3 cash base rent</x:v>
      </x:c>
      <x:c r="D16" s="2" t="str">
        <x:v>USD</x:v>
      </x:c>
      <x:c r="E16" s="48" t="n">
        <x:f>IF(COUNT(G16:R16)=12,SUM(G16:R16),"n.a.")</x:f>
        <x:v>450000</x:v>
      </x:c>
      <x:c r="F16" s="2"/>
      <x:c r="G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Schedule'!$F$12),ISNUMBER('Assumptions'!$D$61),ISNUMBER('Assumptions'!$D$64)),IF(1&lt;'Lease Schedule'!$G$12,'Lease Schedule'!$D$12*'Lease Schedule'!$E$12/12,IF(1&gt;=('Lease Schedule'!$G$12+'Lease Schedule'!$H$12+'Assumptions'!$D$73)+'Lease Schedule'!$I$12,'Lease Schedule'!$D$12*'Lease Schedule'!$F$12/12,0))*'Assumptions'!$D$61*'Assumptions'!$D$64,"n.a."),"n.a.")</x:f>
        <x:v>37500</x:v>
      </x:c>
      <x:c r="H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Schedule'!$F$12),ISNUMBER('Assumptions'!$D$61),ISNUMBER('Assumptions'!$D$64)),IF(2&lt;'Lease Schedule'!$G$12,'Lease Schedule'!$D$12*'Lease Schedule'!$E$12/12,IF(2&gt;=('Lease Schedule'!$G$12+'Lease Schedule'!$H$12+'Assumptions'!$D$73)+'Lease Schedule'!$I$12,'Lease Schedule'!$D$12*'Lease Schedule'!$F$12/12,0))*'Assumptions'!$D$61*'Assumptions'!$D$64,"n.a."),"n.a.")</x:f>
        <x:v>37500</x:v>
      </x:c>
      <x:c r="I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Schedule'!$F$12),ISNUMBER('Assumptions'!$D$61),ISNUMBER('Assumptions'!$D$64)),IF(3&lt;'Lease Schedule'!$G$12,'Lease Schedule'!$D$12*'Lease Schedule'!$E$12/12,IF(3&gt;=('Lease Schedule'!$G$12+'Lease Schedule'!$H$12+'Assumptions'!$D$73)+'Lease Schedule'!$I$12,'Lease Schedule'!$D$12*'Lease Schedule'!$F$12/12,0))*'Assumptions'!$D$61*'Assumptions'!$D$64,"n.a."),"n.a.")</x:f>
        <x:v>37500</x:v>
      </x:c>
      <x:c r="J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Schedule'!$F$12),ISNUMBER('Assumptions'!$D$61),ISNUMBER('Assumptions'!$D$64)),IF(4&lt;'Lease Schedule'!$G$12,'Lease Schedule'!$D$12*'Lease Schedule'!$E$12/12,IF(4&gt;=('Lease Schedule'!$G$12+'Lease Schedule'!$H$12+'Assumptions'!$D$73)+'Lease Schedule'!$I$12,'Lease Schedule'!$D$12*'Lease Schedule'!$F$12/12,0))*'Assumptions'!$D$61*'Assumptions'!$D$64,"n.a."),"n.a.")</x:f>
        <x:v>37500</x:v>
      </x:c>
      <x:c r="K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Schedule'!$F$12),ISNUMBER('Assumptions'!$D$61),ISNUMBER('Assumptions'!$D$64)),IF(5&lt;'Lease Schedule'!$G$12,'Lease Schedule'!$D$12*'Lease Schedule'!$E$12/12,IF(5&gt;=('Lease Schedule'!$G$12+'Lease Schedule'!$H$12+'Assumptions'!$D$73)+'Lease Schedule'!$I$12,'Lease Schedule'!$D$12*'Lease Schedule'!$F$12/12,0))*'Assumptions'!$D$61*'Assumptions'!$D$64,"n.a."),"n.a.")</x:f>
        <x:v>37500</x:v>
      </x:c>
      <x:c r="L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Schedule'!$F$12),ISNUMBER('Assumptions'!$D$61),ISNUMBER('Assumptions'!$D$64)),IF(6&lt;'Lease Schedule'!$G$12,'Lease Schedule'!$D$12*'Lease Schedule'!$E$12/12,IF(6&gt;=('Lease Schedule'!$G$12+'Lease Schedule'!$H$12+'Assumptions'!$D$73)+'Lease Schedule'!$I$12,'Lease Schedule'!$D$12*'Lease Schedule'!$F$12/12,0))*'Assumptions'!$D$61*'Assumptions'!$D$64,"n.a."),"n.a.")</x:f>
        <x:v>37500</x:v>
      </x:c>
      <x:c r="M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Schedule'!$F$12),ISNUMBER('Assumptions'!$D$61),ISNUMBER('Assumptions'!$D$64)),IF(7&lt;'Lease Schedule'!$G$12,'Lease Schedule'!$D$12*'Lease Schedule'!$E$12/12,IF(7&gt;=('Lease Schedule'!$G$12+'Lease Schedule'!$H$12+'Assumptions'!$D$73)+'Lease Schedule'!$I$12,'Lease Schedule'!$D$12*'Lease Schedule'!$F$12/12,0))*'Assumptions'!$D$61*'Assumptions'!$D$64,"n.a."),"n.a.")</x:f>
        <x:v>37500</x:v>
      </x:c>
      <x:c r="N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Schedule'!$F$12),ISNUMBER('Assumptions'!$D$61),ISNUMBER('Assumptions'!$D$64)),IF(8&lt;'Lease Schedule'!$G$12,'Lease Schedule'!$D$12*'Lease Schedule'!$E$12/12,IF(8&gt;=('Lease Schedule'!$G$12+'Lease Schedule'!$H$12+'Assumptions'!$D$73)+'Lease Schedule'!$I$12,'Lease Schedule'!$D$12*'Lease Schedule'!$F$12/12,0))*'Assumptions'!$D$61*'Assumptions'!$D$64,"n.a."),"n.a.")</x:f>
        <x:v>37500</x:v>
      </x:c>
      <x:c r="O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Schedule'!$F$12),ISNUMBER('Assumptions'!$D$61),ISNUMBER('Assumptions'!$D$64)),IF(9&lt;'Lease Schedule'!$G$12,'Lease Schedule'!$D$12*'Lease Schedule'!$E$12/12,IF(9&gt;=('Lease Schedule'!$G$12+'Lease Schedule'!$H$12+'Assumptions'!$D$73)+'Lease Schedule'!$I$12,'Lease Schedule'!$D$12*'Lease Schedule'!$F$12/12,0))*'Assumptions'!$D$61*'Assumptions'!$D$64,"n.a."),"n.a.")</x:f>
        <x:v>37500</x:v>
      </x:c>
      <x:c r="P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Schedule'!$F$12),ISNUMBER('Assumptions'!$D$61),ISNUMBER('Assumptions'!$D$64)),IF(10&lt;'Lease Schedule'!$G$12,'Lease Schedule'!$D$12*'Lease Schedule'!$E$12/12,IF(10&gt;=('Lease Schedule'!$G$12+'Lease Schedule'!$H$12+'Assumptions'!$D$73)+'Lease Schedule'!$I$12,'Lease Schedule'!$D$12*'Lease Schedule'!$F$12/12,0))*'Assumptions'!$D$61*'Assumptions'!$D$64,"n.a."),"n.a.")</x:f>
        <x:v>37500</x:v>
      </x:c>
      <x:c r="Q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Schedule'!$F$12),ISNUMBER('Assumptions'!$D$61),ISNUMBER('Assumptions'!$D$64)),IF(11&lt;'Lease Schedule'!$G$12,'Lease Schedule'!$D$12*'Lease Schedule'!$E$12/12,IF(11&gt;=('Lease Schedule'!$G$12+'Lease Schedule'!$H$12+'Assumptions'!$D$73)+'Lease Schedule'!$I$12,'Lease Schedule'!$D$12*'Lease Schedule'!$F$12/12,0))*'Assumptions'!$D$61*'Assumptions'!$D$64,"n.a."),"n.a.")</x:f>
        <x:v>37500</x:v>
      </x:c>
      <x:c r="R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Schedule'!$F$12),ISNUMBER('Assumptions'!$D$61),ISNUMBER('Assumptions'!$D$64)),IF(12&lt;'Lease Schedule'!$G$12,'Lease Schedule'!$D$12*'Lease Schedule'!$E$12/12,IF(12&gt;=('Lease Schedule'!$G$12+'Lease Schedule'!$H$12+'Assumptions'!$D$73)+'Lease Schedule'!$I$12,'Lease Schedule'!$D$12*'Lease Schedule'!$F$12/12,0))*'Assumptions'!$D$61*'Assumptions'!$D$64,"n.a."),"n.a.")</x:f>
        <x:v>37500</x:v>
      </x:c>
    </x:row>
    <x:row r="17" ht="21" customHeight="1">
      <x:c r="A17" s="2"/>
      <x:c r="B17" s="2"/>
      <x:c r="C17" s="2" t="str">
        <x:v>Tenant 3 recoveries</x:v>
      </x:c>
      <x:c r="D17" s="2" t="str">
        <x:v>USD</x:v>
      </x:c>
      <x:c r="E17" s="48" t="n">
        <x:f>IF(COUNT(G17:R17)=12,SUM(G17:R17),"n.a.")</x:f>
        <x:v>57000</x:v>
      </x:c>
      <x:c r="F17" s="2"/>
      <x:c r="G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Schedule'!$L$12/12*IF(AND(1&gt;='Lease Schedule'!$G$12,1&lt;'Lease Schedule'!$G$12+'Lease Schedule'!$H$12+'Assumptions'!$D$73),0,1)*'Assumptions'!$D$76*'Assumptions'!$D$61,"n.a."),"n.a.")</x:f>
        <x:v>4750</x:v>
      </x:c>
      <x:c r="H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Schedule'!$L$12/12*IF(AND(2&gt;='Lease Schedule'!$G$12,2&lt;'Lease Schedule'!$G$12+'Lease Schedule'!$H$12+'Assumptions'!$D$73),0,1)*'Assumptions'!$D$76*'Assumptions'!$D$61,"n.a."),"n.a.")</x:f>
        <x:v>4750</x:v>
      </x:c>
      <x:c r="I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Schedule'!$L$12/12*IF(AND(3&gt;='Lease Schedule'!$G$12,3&lt;'Lease Schedule'!$G$12+'Lease Schedule'!$H$12+'Assumptions'!$D$73),0,1)*'Assumptions'!$D$76*'Assumptions'!$D$61,"n.a."),"n.a.")</x:f>
        <x:v>4750</x:v>
      </x:c>
      <x:c r="J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Schedule'!$L$12/12*IF(AND(4&gt;='Lease Schedule'!$G$12,4&lt;'Lease Schedule'!$G$12+'Lease Schedule'!$H$12+'Assumptions'!$D$73),0,1)*'Assumptions'!$D$76*'Assumptions'!$D$61,"n.a."),"n.a.")</x:f>
        <x:v>4750</x:v>
      </x:c>
      <x:c r="K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Schedule'!$L$12/12*IF(AND(5&gt;='Lease Schedule'!$G$12,5&lt;'Lease Schedule'!$G$12+'Lease Schedule'!$H$12+'Assumptions'!$D$73),0,1)*'Assumptions'!$D$76*'Assumptions'!$D$61,"n.a."),"n.a.")</x:f>
        <x:v>4750</x:v>
      </x:c>
      <x:c r="L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Schedule'!$L$12/12*IF(AND(6&gt;='Lease Schedule'!$G$12,6&lt;'Lease Schedule'!$G$12+'Lease Schedule'!$H$12+'Assumptions'!$D$73),0,1)*'Assumptions'!$D$76*'Assumptions'!$D$61,"n.a."),"n.a.")</x:f>
        <x:v>4750</x:v>
      </x:c>
      <x:c r="M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Schedule'!$L$12/12*IF(AND(7&gt;='Lease Schedule'!$G$12,7&lt;'Lease Schedule'!$G$12+'Lease Schedule'!$H$12+'Assumptions'!$D$73),0,1)*'Assumptions'!$D$76*'Assumptions'!$D$61,"n.a."),"n.a.")</x:f>
        <x:v>4750</x:v>
      </x:c>
      <x:c r="N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Schedule'!$L$12/12*IF(AND(8&gt;='Lease Schedule'!$G$12,8&lt;'Lease Schedule'!$G$12+'Lease Schedule'!$H$12+'Assumptions'!$D$73),0,1)*'Assumptions'!$D$76*'Assumptions'!$D$61,"n.a."),"n.a.")</x:f>
        <x:v>4750</x:v>
      </x:c>
      <x:c r="O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Schedule'!$L$12/12*IF(AND(9&gt;='Lease Schedule'!$G$12,9&lt;'Lease Schedule'!$G$12+'Lease Schedule'!$H$12+'Assumptions'!$D$73),0,1)*'Assumptions'!$D$76*'Assumptions'!$D$61,"n.a."),"n.a.")</x:f>
        <x:v>4750</x:v>
      </x:c>
      <x:c r="P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Schedule'!$L$12/12*IF(AND(10&gt;='Lease Schedule'!$G$12,10&lt;'Lease Schedule'!$G$12+'Lease Schedule'!$H$12+'Assumptions'!$D$73),0,1)*'Assumptions'!$D$76*'Assumptions'!$D$61,"n.a."),"n.a.")</x:f>
        <x:v>4750</x:v>
      </x:c>
      <x:c r="Q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Schedule'!$L$12/12*IF(AND(11&gt;='Lease Schedule'!$G$12,11&lt;'Lease Schedule'!$G$12+'Lease Schedule'!$H$12+'Assumptions'!$D$73),0,1)*'Assumptions'!$D$76*'Assumptions'!$D$61,"n.a."),"n.a.")</x:f>
        <x:v>4750</x:v>
      </x:c>
      <x:c r="R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Schedule'!$L$12/12*IF(AND(12&gt;='Lease Schedule'!$G$12,12&lt;'Lease Schedule'!$G$12+'Lease Schedule'!$H$12+'Assumptions'!$D$73),0,1)*'Assumptions'!$D$76*'Assumptions'!$D$61,"n.a."),"n.a.")</x:f>
        <x:v>4750</x:v>
      </x:c>
    </x:row>
    <x:row r="18" ht="21" customHeight="1">
      <x:c r="A18" s="2"/>
      <x:c r="B18" s="2"/>
      <x:c r="C18" s="2" t="str">
        <x:v>Tenant 3 TI and LC</x:v>
      </x:c>
      <x:c r="D18" s="2" t="str">
        <x:v>USD</x:v>
      </x:c>
      <x:c r="E18" s="48" t="n">
        <x:f>IF(COUNT(G18:R18)=12,SUM(G18:R18),"n.a.")</x:f>
        <x:v>0</x:v>
      </x:c>
      <x:c r="F18" s="2"/>
      <x:c r="G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Schedule'!$K$12),ISNUMBER('Assumptions'!$D$70)),IF(1='Lease Schedule'!$G$12+'Lease Schedule'!$H$12+'Assumptions'!$D$73,'Lease Schedule'!$D$12*('Lease Schedule'!$J$12+'Lease Schedule'!$F$12*'Assumptions'!$D$79*'Lease Schedule'!$K$12),0)*'Assumptions'!$D$70,"n.a."),"n.a.")</x:f>
        <x:v>0</x:v>
      </x:c>
      <x:c r="H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Schedule'!$K$12),ISNUMBER('Assumptions'!$D$70)),IF(2='Lease Schedule'!$G$12+'Lease Schedule'!$H$12+'Assumptions'!$D$73,'Lease Schedule'!$D$12*('Lease Schedule'!$J$12+'Lease Schedule'!$F$12*'Assumptions'!$D$79*'Lease Schedule'!$K$12),0)*'Assumptions'!$D$70,"n.a."),"n.a.")</x:f>
        <x:v>0</x:v>
      </x:c>
      <x:c r="I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Schedule'!$K$12),ISNUMBER('Assumptions'!$D$70)),IF(3='Lease Schedule'!$G$12+'Lease Schedule'!$H$12+'Assumptions'!$D$73,'Lease Schedule'!$D$12*('Lease Schedule'!$J$12+'Lease Schedule'!$F$12*'Assumptions'!$D$79*'Lease Schedule'!$K$12),0)*'Assumptions'!$D$70,"n.a."),"n.a.")</x:f>
        <x:v>0</x:v>
      </x:c>
      <x:c r="J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Schedule'!$K$12),ISNUMBER('Assumptions'!$D$70)),IF(4='Lease Schedule'!$G$12+'Lease Schedule'!$H$12+'Assumptions'!$D$73,'Lease Schedule'!$D$12*('Lease Schedule'!$J$12+'Lease Schedule'!$F$12*'Assumptions'!$D$79*'Lease Schedule'!$K$12),0)*'Assumptions'!$D$70,"n.a."),"n.a.")</x:f>
        <x:v>0</x:v>
      </x:c>
      <x:c r="K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Schedule'!$K$12),ISNUMBER('Assumptions'!$D$70)),IF(5='Lease Schedule'!$G$12+'Lease Schedule'!$H$12+'Assumptions'!$D$73,'Lease Schedule'!$D$12*('Lease Schedule'!$J$12+'Lease Schedule'!$F$12*'Assumptions'!$D$79*'Lease Schedule'!$K$12),0)*'Assumptions'!$D$70,"n.a."),"n.a.")</x:f>
        <x:v>0</x:v>
      </x:c>
      <x:c r="L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Schedule'!$K$12),ISNUMBER('Assumptions'!$D$70)),IF(6='Lease Schedule'!$G$12+'Lease Schedule'!$H$12+'Assumptions'!$D$73,'Lease Schedule'!$D$12*('Lease Schedule'!$J$12+'Lease Schedule'!$F$12*'Assumptions'!$D$79*'Lease Schedule'!$K$12),0)*'Assumptions'!$D$70,"n.a."),"n.a.")</x:f>
        <x:v>0</x:v>
      </x:c>
      <x:c r="M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Schedule'!$K$12),ISNUMBER('Assumptions'!$D$70)),IF(7='Lease Schedule'!$G$12+'Lease Schedule'!$H$12+'Assumptions'!$D$73,'Lease Schedule'!$D$12*('Lease Schedule'!$J$12+'Lease Schedule'!$F$12*'Assumptions'!$D$79*'Lease Schedule'!$K$12),0)*'Assumptions'!$D$70,"n.a."),"n.a.")</x:f>
        <x:v>0</x:v>
      </x:c>
      <x:c r="N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Schedule'!$K$12),ISNUMBER('Assumptions'!$D$70)),IF(8='Lease Schedule'!$G$12+'Lease Schedule'!$H$12+'Assumptions'!$D$73,'Lease Schedule'!$D$12*('Lease Schedule'!$J$12+'Lease Schedule'!$F$12*'Assumptions'!$D$79*'Lease Schedule'!$K$12),0)*'Assumptions'!$D$70,"n.a."),"n.a.")</x:f>
        <x:v>0</x:v>
      </x:c>
      <x:c r="O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Schedule'!$K$12),ISNUMBER('Assumptions'!$D$70)),IF(9='Lease Schedule'!$G$12+'Lease Schedule'!$H$12+'Assumptions'!$D$73,'Lease Schedule'!$D$12*('Lease Schedule'!$J$12+'Lease Schedule'!$F$12*'Assumptions'!$D$79*'Lease Schedule'!$K$12),0)*'Assumptions'!$D$70,"n.a."),"n.a.")</x:f>
        <x:v>0</x:v>
      </x:c>
      <x:c r="P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Schedule'!$K$12),ISNUMBER('Assumptions'!$D$70)),IF(10='Lease Schedule'!$G$12+'Lease Schedule'!$H$12+'Assumptions'!$D$73,'Lease Schedule'!$D$12*('Lease Schedule'!$J$12+'Lease Schedule'!$F$12*'Assumptions'!$D$79*'Lease Schedule'!$K$12),0)*'Assumptions'!$D$70,"n.a."),"n.a.")</x:f>
        <x:v>0</x:v>
      </x:c>
      <x:c r="Q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Schedule'!$K$12),ISNUMBER('Assumptions'!$D$70)),IF(11='Lease Schedule'!$G$12+'Lease Schedule'!$H$12+'Assumptions'!$D$73,'Lease Schedule'!$D$12*('Lease Schedule'!$J$12+'Lease Schedule'!$F$12*'Assumptions'!$D$79*'Lease Schedule'!$K$12),0)*'Assumptions'!$D$70,"n.a."),"n.a.")</x:f>
        <x:v>0</x:v>
      </x:c>
      <x:c r="R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Schedule'!$K$12),ISNUMBER('Assumptions'!$D$70)),IF(12='Lease Schedule'!$G$12+'Lease Schedule'!$H$12+'Assumptions'!$D$73,'Lease Schedule'!$D$12*('Lease Schedule'!$J$12+'Lease Schedule'!$F$12*'Assumptions'!$D$79*'Lease Schedule'!$K$12),0)*'Assumptions'!$D$70,"n.a."),"n.a.")</x:f>
        <x:v>0</x:v>
      </x:c>
    </x:row>
    <x:row r="19" ht="21" customHeight="1">
      <x:c r="A19" s="2"/>
      <x:c r="B19" s="2"/>
      <x:c r="C19" s="2" t="str">
        <x:v>Total base rent</x:v>
      </x:c>
      <x:c r="D19" s="2" t="str">
        <x:v>USD</x:v>
      </x:c>
      <x:c r="E19" s="48" t="n">
        <x:f>IF(COUNT(G19:R19)=12,SUM(G19:R19),"n.a.")</x:f>
        <x:v>1374999.9999999998</x:v>
      </x:c>
      <x:c r="F19" s="2"/>
      <x:c r="G19" s="48" t="n">
        <x:f>IF(AND(ISNUMBER(G10),ISNUMBER(G13),ISNUMBER(G16)),SUM(G10,G13,G16),"n.a.")</x:f>
        <x:v>162500</x:v>
      </x:c>
      <x:c r="H19" s="48" t="n">
        <x:f>IF(AND(ISNUMBER(H10),ISNUMBER(H13),ISNUMBER(H16)),SUM(H10,H13,H16),"n.a.")</x:f>
        <x:v>162500</x:v>
      </x:c>
      <x:c r="I19" s="48" t="n">
        <x:f>IF(AND(ISNUMBER(I10),ISNUMBER(I13),ISNUMBER(I16)),SUM(I10,I13,I16),"n.a.")</x:f>
        <x:v>162500</x:v>
      </x:c>
      <x:c r="J19" s="48" t="n">
        <x:f>IF(AND(ISNUMBER(J10),ISNUMBER(J13),ISNUMBER(J16)),SUM(J10,J13,J16),"n.a.")</x:f>
        <x:v>162500</x:v>
      </x:c>
      <x:c r="K19" s="48" t="n">
        <x:f>IF(AND(ISNUMBER(K10),ISNUMBER(K13),ISNUMBER(K16)),SUM(K10,K13,K16),"n.a.")</x:f>
        <x:v>162500</x:v>
      </x:c>
      <x:c r="L19" s="48" t="n">
        <x:f>IF(AND(ISNUMBER(L10),ISNUMBER(L13),ISNUMBER(L16)),SUM(L10,L13,L16),"n.a.")</x:f>
        <x:v>162500</x:v>
      </x:c>
      <x:c r="M19" s="48" t="n">
        <x:f>IF(AND(ISNUMBER(M10),ISNUMBER(M13),ISNUMBER(M16)),SUM(M10,M13,M16),"n.a.")</x:f>
        <x:v>95833.33333333334</x:v>
      </x:c>
      <x:c r="N19" s="48" t="n">
        <x:f>IF(AND(ISNUMBER(N10),ISNUMBER(N13),ISNUMBER(N16)),SUM(N10,N13,N16),"n.a.")</x:f>
        <x:v>95833.33333333334</x:v>
      </x:c>
      <x:c r="O19" s="48" t="n">
        <x:f>IF(AND(ISNUMBER(O10),ISNUMBER(O13),ISNUMBER(O16)),SUM(O10,O13,O16),"n.a.")</x:f>
        <x:v>95833.33333333334</x:v>
      </x:c>
      <x:c r="P19" s="48" t="n">
        <x:f>IF(AND(ISNUMBER(P10),ISNUMBER(P13),ISNUMBER(P16)),SUM(P10,P13,P16),"n.a.")</x:f>
        <x:v>37500</x:v>
      </x:c>
      <x:c r="Q19" s="48" t="n">
        <x:f>IF(AND(ISNUMBER(Q10),ISNUMBER(Q13),ISNUMBER(Q16)),SUM(Q10,Q13,Q16),"n.a.")</x:f>
        <x:v>37500</x:v>
      </x:c>
      <x:c r="R19" s="48" t="n">
        <x:f>IF(AND(ISNUMBER(R10),ISNUMBER(R13),ISNUMBER(R16)),SUM(R10,R13,R16),"n.a.")</x:f>
        <x:v>37500</x:v>
      </x:c>
    </x:row>
    <x:row r="20" ht="21" customHeight="1">
      <x:c r="A20" s="2"/>
      <x:c r="B20" s="2"/>
      <x:c r="C20" s="2" t="str">
        <x:v>Collected expense recoveries</x:v>
      </x:c>
      <x:c r="D20" s="2" t="str">
        <x:v>USD</x:v>
      </x:c>
      <x:c r="E20" s="48" t="n">
        <x:f>IF(COUNT(G20:R20)=12,SUM(G20:R20),"n.a.")</x:f>
        <x:v>207416.66666666666</x:v>
      </x:c>
      <x:c r="F20" s="2"/>
      <x:c r="G20" s="48" t="n">
        <x:f>IF(AND(ISNUMBER(G11),ISNUMBER(G14),ISNUMBER(G17)),SUM(G11,G14,G17),"n.a.")</x:f>
        <x:v>22562.5</x:v>
      </x:c>
      <x:c r="H20" s="48" t="n">
        <x:f>IF(AND(ISNUMBER(H11),ISNUMBER(H14),ISNUMBER(H17)),SUM(H11,H14,H17),"n.a.")</x:f>
        <x:v>22562.5</x:v>
      </x:c>
      <x:c r="I20" s="48" t="n">
        <x:f>IF(AND(ISNUMBER(I11),ISNUMBER(I14),ISNUMBER(I17)),SUM(I11,I14,I17),"n.a.")</x:f>
        <x:v>22562.5</x:v>
      </x:c>
      <x:c r="J20" s="48" t="n">
        <x:f>IF(AND(ISNUMBER(J11),ISNUMBER(J14),ISNUMBER(J17)),SUM(J11,J14,J17),"n.a.")</x:f>
        <x:v>22562.5</x:v>
      </x:c>
      <x:c r="K20" s="48" t="n">
        <x:f>IF(AND(ISNUMBER(K11),ISNUMBER(K14),ISNUMBER(K17)),SUM(K11,K14,K17),"n.a.")</x:f>
        <x:v>22562.5</x:v>
      </x:c>
      <x:c r="L20" s="48" t="n">
        <x:f>IF(AND(ISNUMBER(L11),ISNUMBER(L14),ISNUMBER(L17)),SUM(L11,L14,L17),"n.a.")</x:f>
        <x:v>22562.5</x:v>
      </x:c>
      <x:c r="M20" s="48" t="n">
        <x:f>IF(AND(ISNUMBER(M11),ISNUMBER(M14),ISNUMBER(M17)),SUM(M11,M14,M17),"n.a.")</x:f>
        <x:v>12666.666666666668</x:v>
      </x:c>
      <x:c r="N20" s="48" t="n">
        <x:f>IF(AND(ISNUMBER(N11),ISNUMBER(N14),ISNUMBER(N17)),SUM(N11,N14,N17),"n.a.")</x:f>
        <x:v>12666.666666666668</x:v>
      </x:c>
      <x:c r="O20" s="48" t="n">
        <x:f>IF(AND(ISNUMBER(O11),ISNUMBER(O14),ISNUMBER(O17)),SUM(O11,O14,O17),"n.a.")</x:f>
        <x:v>12666.666666666668</x:v>
      </x:c>
      <x:c r="P20" s="48" t="n">
        <x:f>IF(AND(ISNUMBER(P11),ISNUMBER(P14),ISNUMBER(P17)),SUM(P11,P14,P17),"n.a.")</x:f>
        <x:v>4750</x:v>
      </x:c>
      <x:c r="Q20" s="48" t="n">
        <x:f>IF(AND(ISNUMBER(Q11),ISNUMBER(Q14),ISNUMBER(Q17)),SUM(Q11,Q14,Q17),"n.a.")</x:f>
        <x:v>14645.833333333332</x:v>
      </x:c>
      <x:c r="R20" s="48" t="n">
        <x:f>IF(AND(ISNUMBER(R11),ISNUMBER(R14),ISNUMBER(R17)),SUM(R11,R14,R17),"n.a.")</x:f>
        <x:v>14645.833333333332</x:v>
      </x:c>
    </x:row>
    <x:row r="21" ht="21" customHeight="1">
      <x:c r="A21" s="2"/>
      <x:c r="B21" s="2"/>
      <x:c r="C21" s="2" t="str">
        <x:v>Parking / amenity collections</x:v>
      </x:c>
      <x:c r="D21" s="2" t="str">
        <x:v>USD</x:v>
      </x:c>
      <x:c r="E21" s="48" t="n">
        <x:f>IF(COUNT(G21:R21)=12,SUM(G21:R21),"n.a.")</x:f>
        <x:v>120000</x:v>
      </x:c>
      <x:c r="F21" s="2"/>
      <x:c r="G21" s="47" t="n">
        <x:f>IF(AND(ISNUMBER('Assumptions'!$D$82)),'Assumptions'!$D$82,"n.a.")</x:f>
        <x:v>10000</x:v>
      </x:c>
      <x:c r="H21" s="47" t="n">
        <x:f>IF(AND(ISNUMBER('Assumptions'!$D$82)),'Assumptions'!$D$82,"n.a.")</x:f>
        <x:v>10000</x:v>
      </x:c>
      <x:c r="I21" s="47" t="n">
        <x:f>IF(AND(ISNUMBER('Assumptions'!$D$82)),'Assumptions'!$D$82,"n.a.")</x:f>
        <x:v>10000</x:v>
      </x:c>
      <x:c r="J21" s="47" t="n">
        <x:f>IF(AND(ISNUMBER('Assumptions'!$D$82)),'Assumptions'!$D$82,"n.a.")</x:f>
        <x:v>10000</x:v>
      </x:c>
      <x:c r="K21" s="47" t="n">
        <x:f>IF(AND(ISNUMBER('Assumptions'!$D$82)),'Assumptions'!$D$82,"n.a.")</x:f>
        <x:v>10000</x:v>
      </x:c>
      <x:c r="L21" s="47" t="n">
        <x:f>IF(AND(ISNUMBER('Assumptions'!$D$82)),'Assumptions'!$D$82,"n.a.")</x:f>
        <x:v>10000</x:v>
      </x:c>
      <x:c r="M21" s="47" t="n">
        <x:f>IF(AND(ISNUMBER('Assumptions'!$D$82)),'Assumptions'!$D$82,"n.a.")</x:f>
        <x:v>10000</x:v>
      </x:c>
      <x:c r="N21" s="47" t="n">
        <x:f>IF(AND(ISNUMBER('Assumptions'!$D$82)),'Assumptions'!$D$82,"n.a.")</x:f>
        <x:v>10000</x:v>
      </x:c>
      <x:c r="O21" s="47" t="n">
        <x:f>IF(AND(ISNUMBER('Assumptions'!$D$82)),'Assumptions'!$D$82,"n.a.")</x:f>
        <x:v>10000</x:v>
      </x:c>
      <x:c r="P21" s="47" t="n">
        <x:f>IF(AND(ISNUMBER('Assumptions'!$D$82)),'Assumptions'!$D$82,"n.a.")</x:f>
        <x:v>10000</x:v>
      </x:c>
      <x:c r="Q21" s="47" t="n">
        <x:f>IF(AND(ISNUMBER('Assumptions'!$D$82)),'Assumptions'!$D$82,"n.a.")</x:f>
        <x:v>10000</x:v>
      </x:c>
      <x:c r="R21" s="47" t="n">
        <x:f>IF(AND(ISNUMBER('Assumptions'!$D$82)),'Assumptions'!$D$82,"n.a.")</x:f>
        <x:v>10000</x:v>
      </x:c>
    </x:row>
    <x:row r="22" ht="21" customHeight="1">
      <x:c r="A22" s="2"/>
      <x:c r="B22" s="2"/>
      <x:c r="C22" s="51" t="str">
        <x:v>Revenue and recoveries</x:v>
      </x:c>
      <x:c r="D22" s="51" t="str">
        <x:v>USD</x:v>
      </x:c>
      <x:c r="E22" s="52" t="n">
        <x:f>IF(COUNT(G22:R22)=12,SUM(G22:R22),"n.a.")</x:f>
        <x:v>1702416.6666666665</x:v>
      </x:c>
      <x:c r="F22" s="51"/>
      <x:c r="G22" s="52" t="n">
        <x:f>IF(AND(ISNUMBER(G19),ISNUMBER(G20),ISNUMBER(G21)),G19+G20+G21,"n.a.")</x:f>
        <x:v>195062.5</x:v>
      </x:c>
      <x:c r="H22" s="52" t="n">
        <x:f>IF(AND(ISNUMBER(H19),ISNUMBER(H20),ISNUMBER(H21)),H19+H20+H21,"n.a.")</x:f>
        <x:v>195062.5</x:v>
      </x:c>
      <x:c r="I22" s="52" t="n">
        <x:f>IF(AND(ISNUMBER(I19),ISNUMBER(I20),ISNUMBER(I21)),I19+I20+I21,"n.a.")</x:f>
        <x:v>195062.5</x:v>
      </x:c>
      <x:c r="J22" s="52" t="n">
        <x:f>IF(AND(ISNUMBER(J19),ISNUMBER(J20),ISNUMBER(J21)),J19+J20+J21,"n.a.")</x:f>
        <x:v>195062.5</x:v>
      </x:c>
      <x:c r="K22" s="52" t="n">
        <x:f>IF(AND(ISNUMBER(K19),ISNUMBER(K20),ISNUMBER(K21)),K19+K20+K21,"n.a.")</x:f>
        <x:v>195062.5</x:v>
      </x:c>
      <x:c r="L22" s="52" t="n">
        <x:f>IF(AND(ISNUMBER(L19),ISNUMBER(L20),ISNUMBER(L21)),L19+L20+L21,"n.a.")</x:f>
        <x:v>195062.5</x:v>
      </x:c>
      <x:c r="M22" s="52" t="n">
        <x:f>IF(AND(ISNUMBER(M19),ISNUMBER(M20),ISNUMBER(M21)),M19+M20+M21,"n.a.")</x:f>
        <x:v>118500.00000000001</x:v>
      </x:c>
      <x:c r="N22" s="52" t="n">
        <x:f>IF(AND(ISNUMBER(N19),ISNUMBER(N20),ISNUMBER(N21)),N19+N20+N21,"n.a.")</x:f>
        <x:v>118500.00000000001</x:v>
      </x:c>
      <x:c r="O22" s="52" t="n">
        <x:f>IF(AND(ISNUMBER(O19),ISNUMBER(O20),ISNUMBER(O21)),O19+O20+O21,"n.a.")</x:f>
        <x:v>118500.00000000001</x:v>
      </x:c>
      <x:c r="P22" s="52" t="n">
        <x:f>IF(AND(ISNUMBER(P19),ISNUMBER(P20),ISNUMBER(P21)),P19+P20+P21,"n.a.")</x:f>
        <x:v>52250</x:v>
      </x:c>
      <x:c r="Q22" s="52" t="n">
        <x:f>IF(AND(ISNUMBER(Q19),ISNUMBER(Q20),ISNUMBER(Q21)),Q19+Q20+Q21,"n.a.")</x:f>
        <x:v>62145.83333333333</x:v>
      </x:c>
      <x:c r="R22" s="52" t="n">
        <x:f>IF(AND(ISNUMBER(R19),ISNUMBER(R20),ISNUMBER(R21)),R19+R20+R21,"n.a.")</x:f>
        <x:v>62145.83333333333</x:v>
      </x:c>
    </x:row>
    <x:row r="23" ht="21" customHeight="1">
      <x:c r="A23" s="2"/>
      <x:c r="B23" s="2"/>
      <x:c r="C23" s="2" t="str">
        <x:v>Property service costs</x:v>
      </x:c>
      <x:c r="D23" s="2" t="str">
        <x:v>USD</x:v>
      </x:c>
      <x:c r="E23" s="48" t="n">
        <x:f>IF(COUNT(G23:R23)=12,SUM(G23:R23),"n.a.")</x:f>
        <x:v>285000</x:v>
      </x:c>
      <x:c r="F23" s="2"/>
      <x:c r="G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H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I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J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K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L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M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N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O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P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Q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  <x:c r="R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23750</x:v>
      </x:c>
    </x:row>
    <x:row r="24" ht="21" customHeight="1">
      <x:c r="A24" s="2"/>
      <x:c r="B24" s="2"/>
      <x:c r="C24" s="2" t="str">
        <x:v>TI, LC and owner capital</x:v>
      </x:c>
      <x:c r="D24" s="2" t="str">
        <x:v>USD</x:v>
      </x:c>
      <x:c r="E24" s="48" t="n">
        <x:f>IF(COUNT(G24:R24)=12,SUM(G24:R24),"n.a.")</x:f>
        <x:v>1625000</x:v>
      </x:c>
      <x:c r="F24" s="2"/>
      <x:c r="G24" s="47" t="n">
        <x:f>IF(AND(ISNUMBER(G12),ISNUMBER(G15),ISNUMBER(G18),ISNUMBER('Assumptions'!$D$85)),SUM(G12,G15,G18)+IF(1=4,'Assumptions'!$D$85,0),"n.a.")</x:f>
        <x:v>0</x:v>
      </x:c>
      <x:c r="H24" s="47" t="n">
        <x:f>IF(AND(ISNUMBER(H12),ISNUMBER(H15),ISNUMBER(H18),ISNUMBER('Assumptions'!$D$85)),SUM(H12,H15,H18)+IF(2=4,'Assumptions'!$D$85,0),"n.a.")</x:f>
        <x:v>0</x:v>
      </x:c>
      <x:c r="I24" s="47" t="n">
        <x:f>IF(AND(ISNUMBER(I12),ISNUMBER(I15),ISNUMBER(I18),ISNUMBER('Assumptions'!$D$85)),SUM(I12,I15,I18)+IF(3=4,'Assumptions'!$D$85,0),"n.a.")</x:f>
        <x:v>0</x:v>
      </x:c>
      <x:c r="J24" s="47" t="n">
        <x:f>IF(AND(ISNUMBER(J12),ISNUMBER(J15),ISNUMBER(J18),ISNUMBER('Assumptions'!$D$85)),SUM(J12,J15,J18)+IF(4=4,'Assumptions'!$D$85,0),"n.a.")</x:f>
        <x:v>150000</x:v>
      </x:c>
      <x:c r="K24" s="47" t="n">
        <x:f>IF(AND(ISNUMBER(K12),ISNUMBER(K15),ISNUMBER(K18),ISNUMBER('Assumptions'!$D$85)),SUM(K12,K15,K18)+IF(5=4,'Assumptions'!$D$85,0),"n.a.")</x:f>
        <x:v>0</x:v>
      </x:c>
      <x:c r="L24" s="47" t="n">
        <x:f>IF(AND(ISNUMBER(L12),ISNUMBER(L15),ISNUMBER(L18),ISNUMBER('Assumptions'!$D$85)),SUM(L12,L15,L18)+IF(6=4,'Assumptions'!$D$85,0),"n.a.")</x:f>
        <x:v>0</x:v>
      </x:c>
      <x:c r="M24" s="47" t="n">
        <x:f>IF(AND(ISNUMBER(M12),ISNUMBER(M15),ISNUMBER(M18),ISNUMBER('Assumptions'!$D$85)),SUM(M12,M15,M18)+IF(7=4,'Assumptions'!$D$85,0),"n.a.")</x:f>
        <x:v>0</x:v>
      </x:c>
      <x:c r="N24" s="47" t="n">
        <x:f>IF(AND(ISNUMBER(N12),ISNUMBER(N15),ISNUMBER(N18),ISNUMBER('Assumptions'!$D$85)),SUM(N12,N15,N18)+IF(8=4,'Assumptions'!$D$85,0),"n.a.")</x:f>
        <x:v>0</x:v>
      </x:c>
      <x:c r="O24" s="47" t="n">
        <x:f>IF(AND(ISNUMBER(O12),ISNUMBER(O15),ISNUMBER(O18),ISNUMBER('Assumptions'!$D$85)),SUM(O12,O15,O18)+IF(9=4,'Assumptions'!$D$85,0),"n.a.")</x:f>
        <x:v>0</x:v>
      </x:c>
      <x:c r="P24" s="47" t="n">
        <x:f>IF(AND(ISNUMBER(P12),ISNUMBER(P15),ISNUMBER(P18),ISNUMBER('Assumptions'!$D$85)),SUM(P12,P15,P18)+IF(10=4,'Assumptions'!$D$85,0),"n.a.")</x:f>
        <x:v>0</x:v>
      </x:c>
      <x:c r="Q24" s="47" t="n">
        <x:f>IF(AND(ISNUMBER(Q12),ISNUMBER(Q15),ISNUMBER(Q18),ISNUMBER('Assumptions'!$D$85)),SUM(Q12,Q15,Q18)+IF(11=4,'Assumptions'!$D$85,0),"n.a.")</x:f>
        <x:v>1475000</x:v>
      </x:c>
      <x:c r="R24" s="47" t="n">
        <x:f>IF(AND(ISNUMBER(R12),ISNUMBER(R15),ISNUMBER(R18),ISNUMBER('Assumptions'!$D$85)),SUM(R12,R15,R18)+IF(12=4,'Assumptions'!$D$85,0),"n.a.")</x:f>
        <x:v>0</x:v>
      </x:c>
    </x:row>
    <x:row r="25" ht="21" customHeight="1">
      <x:c r="A25" s="2"/>
      <x:c r="B25" s="2"/>
      <x:c r="C25" s="2" t="str">
        <x:v>Fixed property / entity costs</x:v>
      </x:c>
      <x:c r="D25" s="2" t="str">
        <x:v>USD</x:v>
      </x:c>
      <x:c r="E25" s="48" t="n">
        <x:f>IF(COUNT(G25:R25)=12,SUM(G25:R25),"n.a.")</x:f>
        <x:v>180000</x:v>
      </x:c>
      <x:c r="F25" s="2"/>
      <x:c r="G25" s="47" t="n">
        <x:f>IF(AND(ISNUMBER('Assumptions'!$D$55)),'Assumptions'!$D$55/12,"n.a.")</x:f>
        <x:v>15000</x:v>
      </x:c>
      <x:c r="H25" s="47" t="n">
        <x:f>IF(AND(ISNUMBER('Assumptions'!$D$55)),'Assumptions'!$D$55/12,"n.a.")</x:f>
        <x:v>15000</x:v>
      </x:c>
      <x:c r="I25" s="47" t="n">
        <x:f>IF(AND(ISNUMBER('Assumptions'!$D$55)),'Assumptions'!$D$55/12,"n.a.")</x:f>
        <x:v>15000</x:v>
      </x:c>
      <x:c r="J25" s="47" t="n">
        <x:f>IF(AND(ISNUMBER('Assumptions'!$D$55)),'Assumptions'!$D$55/12,"n.a.")</x:f>
        <x:v>15000</x:v>
      </x:c>
      <x:c r="K25" s="47" t="n">
        <x:f>IF(AND(ISNUMBER('Assumptions'!$D$55)),'Assumptions'!$D$55/12,"n.a.")</x:f>
        <x:v>15000</x:v>
      </x:c>
      <x:c r="L25" s="47" t="n">
        <x:f>IF(AND(ISNUMBER('Assumptions'!$D$55)),'Assumptions'!$D$55/12,"n.a.")</x:f>
        <x:v>15000</x:v>
      </x:c>
      <x:c r="M25" s="47" t="n">
        <x:f>IF(AND(ISNUMBER('Assumptions'!$D$55)),'Assumptions'!$D$55/12,"n.a.")</x:f>
        <x:v>15000</x:v>
      </x:c>
      <x:c r="N25" s="47" t="n">
        <x:f>IF(AND(ISNUMBER('Assumptions'!$D$55)),'Assumptions'!$D$55/12,"n.a.")</x:f>
        <x:v>15000</x:v>
      </x:c>
      <x:c r="O25" s="47" t="n">
        <x:f>IF(AND(ISNUMBER('Assumptions'!$D$55)),'Assumptions'!$D$55/12,"n.a.")</x:f>
        <x:v>15000</x:v>
      </x:c>
      <x:c r="P25" s="47" t="n">
        <x:f>IF(AND(ISNUMBER('Assumptions'!$D$55)),'Assumptions'!$D$55/12,"n.a.")</x:f>
        <x:v>15000</x:v>
      </x:c>
      <x:c r="Q25" s="47" t="n">
        <x:f>IF(AND(ISNUMBER('Assumptions'!$D$55)),'Assumptions'!$D$55/12,"n.a.")</x:f>
        <x:v>15000</x:v>
      </x:c>
      <x:c r="R25" s="47" t="n">
        <x:f>IF(AND(ISNUMBER('Assumptions'!$D$55)),'Assumptions'!$D$55/12,"n.a.")</x:f>
        <x:v>15000</x:v>
      </x:c>
    </x:row>
    <x:row r="26" ht="21" customHeight="1">
      <x:c r="A26" s="2"/>
      <x:c r="B26" s="2"/>
      <x:c r="C26" s="51" t="str">
        <x:v>Total cash operating costs</x:v>
      </x:c>
      <x:c r="D26" s="51" t="str">
        <x:v>USD</x:v>
      </x:c>
      <x:c r="E26" s="52" t="n">
        <x:f>IF(COUNT(G26:R26)=12,SUM(G26:R26),"n.a.")</x:f>
        <x:v>465000</x:v>
      </x:c>
      <x:c r="F26" s="51"/>
      <x:c r="G26" s="52" t="n">
        <x:f>IF(AND(ISNUMBER(G23),ISNUMBER(G25)),G23+G25,"n.a.")</x:f>
        <x:v>38750</x:v>
      </x:c>
      <x:c r="H26" s="52" t="n">
        <x:f>IF(AND(ISNUMBER(H23),ISNUMBER(H25)),H23+H25,"n.a.")</x:f>
        <x:v>38750</x:v>
      </x:c>
      <x:c r="I26" s="52" t="n">
        <x:f>IF(AND(ISNUMBER(I23),ISNUMBER(I25)),I23+I25,"n.a.")</x:f>
        <x:v>38750</x:v>
      </x:c>
      <x:c r="J26" s="52" t="n">
        <x:f>IF(AND(ISNUMBER(J23),ISNUMBER(J25)),J23+J25,"n.a.")</x:f>
        <x:v>38750</x:v>
      </x:c>
      <x:c r="K26" s="52" t="n">
        <x:f>IF(AND(ISNUMBER(K23),ISNUMBER(K25)),K23+K25,"n.a.")</x:f>
        <x:v>38750</x:v>
      </x:c>
      <x:c r="L26" s="52" t="n">
        <x:f>IF(AND(ISNUMBER(L23),ISNUMBER(L25)),L23+L25,"n.a.")</x:f>
        <x:v>38750</x:v>
      </x:c>
      <x:c r="M26" s="52" t="n">
        <x:f>IF(AND(ISNUMBER(M23),ISNUMBER(M25)),M23+M25,"n.a.")</x:f>
        <x:v>38750</x:v>
      </x:c>
      <x:c r="N26" s="52" t="n">
        <x:f>IF(AND(ISNUMBER(N23),ISNUMBER(N25)),N23+N25,"n.a.")</x:f>
        <x:v>38750</x:v>
      </x:c>
      <x:c r="O26" s="52" t="n">
        <x:f>IF(AND(ISNUMBER(O23),ISNUMBER(O25)),O23+O25,"n.a.")</x:f>
        <x:v>38750</x:v>
      </x:c>
      <x:c r="P26" s="52" t="n">
        <x:f>IF(AND(ISNUMBER(P23),ISNUMBER(P25)),P23+P25,"n.a.")</x:f>
        <x:v>38750</x:v>
      </x:c>
      <x:c r="Q26" s="52" t="n">
        <x:f>IF(AND(ISNUMBER(Q23),ISNUMBER(Q25)),Q23+Q25,"n.a.")</x:f>
        <x:v>38750</x:v>
      </x:c>
      <x:c r="R26" s="52" t="n">
        <x:f>IF(AND(ISNUMBER(R23),ISNUMBER(R25)),R23+R25,"n.a.")</x:f>
        <x:v>38750</x:v>
      </x:c>
    </x:row>
    <x:row r="27" ht="21" customHeight="1">
      <x:c r="A27" s="2"/>
      <x:c r="B27" s="2"/>
      <x:c r="C27" s="51" t="str">
        <x:v>NOI / operating cash before reserves</x:v>
      </x:c>
      <x:c r="D27" s="51" t="str">
        <x:v>USD</x:v>
      </x:c>
      <x:c r="E27" s="52" t="n">
        <x:f>IF(COUNT(G27:R27)=12,SUM(G27:R27),"n.a.")</x:f>
        <x:v>1237416.6666666665</x:v>
      </x:c>
      <x:c r="F27" s="51"/>
      <x:c r="G27" s="52" t="n">
        <x:f>IF(AND(ISNUMBER(G22),ISNUMBER(G26)),G22-G26,"n.a.")</x:f>
        <x:v>156312.5</x:v>
      </x:c>
      <x:c r="H27" s="52" t="n">
        <x:f>IF(AND(ISNUMBER(H22),ISNUMBER(H26)),H22-H26,"n.a.")</x:f>
        <x:v>156312.5</x:v>
      </x:c>
      <x:c r="I27" s="52" t="n">
        <x:f>IF(AND(ISNUMBER(I22),ISNUMBER(I26)),I22-I26,"n.a.")</x:f>
        <x:v>156312.5</x:v>
      </x:c>
      <x:c r="J27" s="52" t="n">
        <x:f>IF(AND(ISNUMBER(J22),ISNUMBER(J26)),J22-J26,"n.a.")</x:f>
        <x:v>156312.5</x:v>
      </x:c>
      <x:c r="K27" s="52" t="n">
        <x:f>IF(AND(ISNUMBER(K22),ISNUMBER(K26)),K22-K26,"n.a.")</x:f>
        <x:v>156312.5</x:v>
      </x:c>
      <x:c r="L27" s="52" t="n">
        <x:f>IF(AND(ISNUMBER(L22),ISNUMBER(L26)),L22-L26,"n.a.")</x:f>
        <x:v>156312.5</x:v>
      </x:c>
      <x:c r="M27" s="52" t="n">
        <x:f>IF(AND(ISNUMBER(M22),ISNUMBER(M26)),M22-M26,"n.a.")</x:f>
        <x:v>79750.00000000001</x:v>
      </x:c>
      <x:c r="N27" s="52" t="n">
        <x:f>IF(AND(ISNUMBER(N22),ISNUMBER(N26)),N22-N26,"n.a.")</x:f>
        <x:v>79750.00000000001</x:v>
      </x:c>
      <x:c r="O27" s="52" t="n">
        <x:f>IF(AND(ISNUMBER(O22),ISNUMBER(O26)),O22-O26,"n.a.")</x:f>
        <x:v>79750.00000000001</x:v>
      </x:c>
      <x:c r="P27" s="52" t="n">
        <x:f>IF(AND(ISNUMBER(P22),ISNUMBER(P26)),P22-P26,"n.a.")</x:f>
        <x:v>13500</x:v>
      </x:c>
      <x:c r="Q27" s="52" t="n">
        <x:f>IF(AND(ISNUMBER(Q22),ISNUMBER(Q26)),Q22-Q26,"n.a.")</x:f>
        <x:v>23395.83333333333</x:v>
      </x:c>
      <x:c r="R27" s="52" t="n">
        <x:f>IF(AND(ISNUMBER(R22),ISNUMBER(R26)),R22-R26,"n.a.")</x:f>
        <x:v>23395.83333333333</x:v>
      </x:c>
    </x:row>
    <x:row r="28" ht="21" customHeight="1">
      <x:c r="A28" s="2"/>
      <x:c r="B28" s="2"/>
      <x:c r="C28" s="2" t="str">
        <x:v>Cash replacement reserve deposits</x:v>
      </x:c>
      <x:c r="D28" s="2" t="str">
        <x:v>USD</x:v>
      </x:c>
      <x:c r="E28" s="48" t="n">
        <x:f>IF(COUNT(G28:R28)=12,SUM(G28:R28),"n.a.")</x:f>
        <x:v>51072.5</x:v>
      </x:c>
      <x:c r="F28" s="2"/>
      <x:c r="G28" s="47" t="n">
        <x:f>IF(AND(ISNUMBER(G22),ISNUMBER('Assumptions'!$D$58)),MAX(0,G22)*'Assumptions'!$D$58,"n.a.")</x:f>
        <x:v>5851.875</x:v>
      </x:c>
      <x:c r="H28" s="47" t="n">
        <x:f>IF(AND(ISNUMBER(H22),ISNUMBER('Assumptions'!$D$58)),MAX(0,H22)*'Assumptions'!$D$58,"n.a.")</x:f>
        <x:v>5851.875</x:v>
      </x:c>
      <x:c r="I28" s="47" t="n">
        <x:f>IF(AND(ISNUMBER(I22),ISNUMBER('Assumptions'!$D$58)),MAX(0,I22)*'Assumptions'!$D$58,"n.a.")</x:f>
        <x:v>5851.875</x:v>
      </x:c>
      <x:c r="J28" s="47" t="n">
        <x:f>IF(AND(ISNUMBER(J22),ISNUMBER('Assumptions'!$D$58)),MAX(0,J22)*'Assumptions'!$D$58,"n.a.")</x:f>
        <x:v>5851.875</x:v>
      </x:c>
      <x:c r="K28" s="47" t="n">
        <x:f>IF(AND(ISNUMBER(K22),ISNUMBER('Assumptions'!$D$58)),MAX(0,K22)*'Assumptions'!$D$58,"n.a.")</x:f>
        <x:v>5851.875</x:v>
      </x:c>
      <x:c r="L28" s="47" t="n">
        <x:f>IF(AND(ISNUMBER(L22),ISNUMBER('Assumptions'!$D$58)),MAX(0,L22)*'Assumptions'!$D$58,"n.a.")</x:f>
        <x:v>5851.875</x:v>
      </x:c>
      <x:c r="M28" s="47" t="n">
        <x:f>IF(AND(ISNUMBER(M22),ISNUMBER('Assumptions'!$D$58)),MAX(0,M22)*'Assumptions'!$D$58,"n.a.")</x:f>
        <x:v>3555.0000000000005</x:v>
      </x:c>
      <x:c r="N28" s="47" t="n">
        <x:f>IF(AND(ISNUMBER(N22),ISNUMBER('Assumptions'!$D$58)),MAX(0,N22)*'Assumptions'!$D$58,"n.a.")</x:f>
        <x:v>3555.0000000000005</x:v>
      </x:c>
      <x:c r="O28" s="47" t="n">
        <x:f>IF(AND(ISNUMBER(O22),ISNUMBER('Assumptions'!$D$58)),MAX(0,O22)*'Assumptions'!$D$58,"n.a.")</x:f>
        <x:v>3555.0000000000005</x:v>
      </x:c>
      <x:c r="P28" s="47" t="n">
        <x:f>IF(AND(ISNUMBER(P22),ISNUMBER('Assumptions'!$D$58)),MAX(0,P22)*'Assumptions'!$D$58,"n.a.")</x:f>
        <x:v>1567.5</x:v>
      </x:c>
      <x:c r="Q28" s="47" t="n">
        <x:f>IF(AND(ISNUMBER(Q22),ISNUMBER('Assumptions'!$D$58)),MAX(0,Q22)*'Assumptions'!$D$58,"n.a.")</x:f>
        <x:v>1864.3749999999998</x:v>
      </x:c>
      <x:c r="R28" s="47" t="n">
        <x:f>IF(AND(ISNUMBER(R22),ISNUMBER('Assumptions'!$D$58)),MAX(0,R22)*'Assumptions'!$D$58,"n.a.")</x:f>
        <x:v>1864.3749999999998</x:v>
      </x:c>
    </x:row>
    <x:row r="29" ht="21" customHeight="1">
      <x:c r="A29" s="2"/>
      <x:c r="B29" s="2"/>
      <x:c r="C29" s="51" t="str">
        <x:v>Cash NCF before property debt / capital</x:v>
      </x:c>
      <x:c r="D29" s="51" t="str">
        <x:v>USD</x:v>
      </x:c>
      <x:c r="E29" s="52" t="n">
        <x:f>IF(COUNT(G29:R29)=12,SUM(G29:R29),"n.a.")</x:f>
        <x:v>1186344.1666666665</x:v>
      </x:c>
      <x:c r="F29" s="51"/>
      <x:c r="G29" s="52" t="n">
        <x:f>IF(AND(ISNUMBER(G27),ISNUMBER(G28)),G27-G28,"n.a.")</x:f>
        <x:v>150460.625</x:v>
      </x:c>
      <x:c r="H29" s="52" t="n">
        <x:f>IF(AND(ISNUMBER(H27),ISNUMBER(H28)),H27-H28,"n.a.")</x:f>
        <x:v>150460.625</x:v>
      </x:c>
      <x:c r="I29" s="52" t="n">
        <x:f>IF(AND(ISNUMBER(I27),ISNUMBER(I28)),I27-I28,"n.a.")</x:f>
        <x:v>150460.625</x:v>
      </x:c>
      <x:c r="J29" s="52" t="n">
        <x:f>IF(AND(ISNUMBER(J27),ISNUMBER(J28)),J27-J28,"n.a.")</x:f>
        <x:v>150460.625</x:v>
      </x:c>
      <x:c r="K29" s="52" t="n">
        <x:f>IF(AND(ISNUMBER(K27),ISNUMBER(K28)),K27-K28,"n.a.")</x:f>
        <x:v>150460.625</x:v>
      </x:c>
      <x:c r="L29" s="52" t="n">
        <x:f>IF(AND(ISNUMBER(L27),ISNUMBER(L28)),L27-L28,"n.a.")</x:f>
        <x:v>150460.625</x:v>
      </x:c>
      <x:c r="M29" s="52" t="n">
        <x:f>IF(AND(ISNUMBER(M27),ISNUMBER(M28)),M27-M28,"n.a.")</x:f>
        <x:v>76195.00000000001</x:v>
      </x:c>
      <x:c r="N29" s="52" t="n">
        <x:f>IF(AND(ISNUMBER(N27),ISNUMBER(N28)),N27-N28,"n.a.")</x:f>
        <x:v>76195.00000000001</x:v>
      </x:c>
      <x:c r="O29" s="52" t="n">
        <x:f>IF(AND(ISNUMBER(O27),ISNUMBER(O28)),O27-O28,"n.a.")</x:f>
        <x:v>76195.00000000001</x:v>
      </x:c>
      <x:c r="P29" s="52" t="n">
        <x:f>IF(AND(ISNUMBER(P27),ISNUMBER(P28)),P27-P28,"n.a.")</x:f>
        <x:v>11932.5</x:v>
      </x:c>
      <x:c r="Q29" s="52" t="n">
        <x:f>IF(AND(ISNUMBER(Q27),ISNUMBER(Q28)),Q27-Q28,"n.a.")</x:f>
        <x:v>21531.45833333333</x:v>
      </x:c>
      <x:c r="R29" s="52" t="n">
        <x:f>IF(AND(ISNUMBER(R27),ISNUMBER(R28)),R27-R28,"n.a.")</x:f>
        <x:v>21531.45833333333</x:v>
      </x:c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7" t="n">
        <x:f>IF(AND(ISNUMBER('Operations'!E29),ISNUMBER('Assumptions'!$D$52)),'Operations'!E29+'Assumptions'!$D$52,"n.a.")</x:f>
        <x:v>1186344.1666666665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4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7" t="n">
        <x:f>IF(AND(ISNUMBER(D9),ISNUMBER('Assumptions'!$D$46),ISNUMBER(D10)),MAX(0,D9)/'Assumptions'!$D$46/(D10*12),"n.a.")</x:f>
        <x:v>11713384.51939056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7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7" t="n">
        <x:f>IF(AND(ISNUMBER(D9),ISNUMBER('Assumptions'!$D$49)),MAX(0,D9)/'Assumptions'!$D$49,"n.a.")</x:f>
        <x:v>13181601.85185185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7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8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7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8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7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7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5" t="n">
        <x:f>'Operations'!G9</x:f>
        <x:v>46388</x:v>
      </x:c>
      <x:c r="H28" s="45" t="n">
        <x:f>'Operations'!H9</x:f>
        <x:v>46419</x:v>
      </x:c>
      <x:c r="I28" s="45" t="n">
        <x:f>'Operations'!I9</x:f>
        <x:v>46447</x:v>
      </x:c>
      <x:c r="J28" s="45" t="n">
        <x:f>'Operations'!J9</x:f>
        <x:v>46478</x:v>
      </x:c>
      <x:c r="K28" s="45" t="n">
        <x:f>'Operations'!K9</x:f>
        <x:v>46508</x:v>
      </x:c>
      <x:c r="L28" s="45" t="n">
        <x:f>'Operations'!L9</x:f>
        <x:v>46539</x:v>
      </x:c>
      <x:c r="M28" s="45" t="n">
        <x:f>'Operations'!M9</x:f>
        <x:v>46569</x:v>
      </x:c>
      <x:c r="N28" s="45" t="n">
        <x:f>'Operations'!N9</x:f>
        <x:v>46600</x:v>
      </x:c>
      <x:c r="O28" s="45" t="n">
        <x:f>'Operations'!O9</x:f>
        <x:v>46631</x:v>
      </x:c>
      <x:c r="P28" s="45" t="n">
        <x:f>'Operations'!P9</x:f>
        <x:v>46661</x:v>
      </x:c>
      <x:c r="Q28" s="45" t="n">
        <x:f>'Operations'!Q9</x:f>
        <x:v>46692</x:v>
      </x:c>
      <x:c r="R28" s="45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5" t="n">
        <x:f>IF(AND(ISNUMBER(D14)),D14,"n.a.")</x:f>
        <x:v>3900000</x:v>
      </x:c>
      <x:c r="H29" s="55" t="n">
        <x:f>IF(AND(ISNUMBER(G33)),G33,"n.a.")</x:f>
        <x:v>3900000</x:v>
      </x:c>
      <x:c r="I29" s="55" t="n">
        <x:f>IF(AND(ISNUMBER(H33)),H33,"n.a.")</x:f>
        <x:v>3900000</x:v>
      </x:c>
      <x:c r="J29" s="55" t="n">
        <x:f>IF(AND(ISNUMBER(I33)),I33,"n.a.")</x:f>
        <x:v>3900000</x:v>
      </x:c>
      <x:c r="K29" s="55" t="n">
        <x:f>IF(AND(ISNUMBER(J33)),J33,"n.a.")</x:f>
        <x:v>3900000</x:v>
      </x:c>
      <x:c r="L29" s="55" t="n">
        <x:f>IF(AND(ISNUMBER(K33)),K33,"n.a.")</x:f>
        <x:v>3900000</x:v>
      </x:c>
      <x:c r="M29" s="55" t="n">
        <x:f>IF(AND(ISNUMBER(L33)),L33,"n.a.")</x:f>
        <x:v>3900000</x:v>
      </x:c>
      <x:c r="N29" s="55" t="n">
        <x:f>IF(AND(ISNUMBER(M33)),M33,"n.a.")</x:f>
        <x:v>3894791.920707442</x:v>
      </x:c>
      <x:c r="O29" s="55" t="n">
        <x:f>IF(AND(ISNUMBER(N33)),N33,"n.a.")</x:f>
        <x:v>3889555.6309853825</x:v>
      </x:c>
      <x:c r="P29" s="55" t="n">
        <x:f>IF(AND(ISNUMBER(O33)),O33,"n.a.")</x:f>
        <x:v>3884290.9780273284</x:v>
      </x:c>
      <x:c r="Q29" s="55" t="n">
        <x:f>IF(AND(ISNUMBER(P33)),P33,"n.a.")</x:f>
        <x:v>3878997.808199085</x:v>
      </x:c>
      <x:c r="R29" s="55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56" t="n">
        <x:f>IF(AND(ISNUMBER(G29),ISNUMBER('Assumptions'!$D$31)),G29*'Assumptions'!$D$31/12,"n.a.")</x:f>
        <x:v>21125</x:v>
      </x:c>
      <x:c r="H30" s="56" t="n">
        <x:f>IF(AND(ISNUMBER(H29),ISNUMBER('Assumptions'!$D$31)),H29*'Assumptions'!$D$31/12,"n.a.")</x:f>
        <x:v>21125</x:v>
      </x:c>
      <x:c r="I30" s="56" t="n">
        <x:f>IF(AND(ISNUMBER(I29),ISNUMBER('Assumptions'!$D$31)),I29*'Assumptions'!$D$31/12,"n.a.")</x:f>
        <x:v>21125</x:v>
      </x:c>
      <x:c r="J30" s="56" t="n">
        <x:f>IF(AND(ISNUMBER(J29),ISNUMBER('Assumptions'!$D$31)),J29*'Assumptions'!$D$31/12,"n.a.")</x:f>
        <x:v>21125</x:v>
      </x:c>
      <x:c r="K30" s="56" t="n">
        <x:f>IF(AND(ISNUMBER(K29),ISNUMBER('Assumptions'!$D$31)),K29*'Assumptions'!$D$31/12,"n.a.")</x:f>
        <x:v>21125</x:v>
      </x:c>
      <x:c r="L30" s="56" t="n">
        <x:f>IF(AND(ISNUMBER(L29),ISNUMBER('Assumptions'!$D$31)),L29*'Assumptions'!$D$31/12,"n.a.")</x:f>
        <x:v>21125</x:v>
      </x:c>
      <x:c r="M30" s="56" t="n">
        <x:f>IF(AND(ISNUMBER(M29),ISNUMBER('Assumptions'!$D$31)),M29*'Assumptions'!$D$31/12,"n.a.")</x:f>
        <x:v>21125</x:v>
      </x:c>
      <x:c r="N30" s="56" t="n">
        <x:f>IF(AND(ISNUMBER(N29),ISNUMBER('Assumptions'!$D$31)),N29*'Assumptions'!$D$31/12,"n.a.")</x:f>
        <x:v>21096.789570498644</x:v>
      </x:c>
      <x:c r="O30" s="56" t="n">
        <x:f>IF(AND(ISNUMBER(O29),ISNUMBER('Assumptions'!$D$31)),O29*'Assumptions'!$D$31/12,"n.a.")</x:f>
        <x:v>21068.426334504158</x:v>
      </x:c>
      <x:c r="P30" s="56" t="n">
        <x:f>IF(AND(ISNUMBER(P29),ISNUMBER('Assumptions'!$D$31)),P29*'Assumptions'!$D$31/12,"n.a.")</x:f>
        <x:v>21039.909464314696</x:v>
      </x:c>
      <x:c r="Q30" s="56" t="n">
        <x:f>IF(AND(ISNUMBER(Q29),ISNUMBER('Assumptions'!$D$31)),Q29*'Assumptions'!$D$31/12,"n.a.")</x:f>
        <x:v>21011.238127745044</x:v>
      </x:c>
      <x:c r="R30" s="56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56" t="n">
        <x:f>IF(AND(ISNUMBER('Assumptions'!$D$37),ISNUMBER(G30),ISNUMBER(G29),ISNUMBER(D16)),IF(1&lt;='Assumptions'!$D$37,G30,MIN(G29+G30,D16)),"n.a.")</x:f>
        <x:v>21125</x:v>
      </x:c>
      <x:c r="H31" s="56" t="n">
        <x:f>IF(AND(ISNUMBER('Assumptions'!$D$37),ISNUMBER(H30),ISNUMBER(H29),ISNUMBER(D16)),IF(2&lt;='Assumptions'!$D$37,H30,MIN(H29+H30,D16)),"n.a.")</x:f>
        <x:v>21125</x:v>
      </x:c>
      <x:c r="I31" s="56" t="n">
        <x:f>IF(AND(ISNUMBER('Assumptions'!$D$37),ISNUMBER(I30),ISNUMBER(I29),ISNUMBER(D16)),IF(3&lt;='Assumptions'!$D$37,I30,MIN(I29+I30,D16)),"n.a.")</x:f>
        <x:v>21125</x:v>
      </x:c>
      <x:c r="J31" s="56" t="n">
        <x:f>IF(AND(ISNUMBER('Assumptions'!$D$37),ISNUMBER(J30),ISNUMBER(J29),ISNUMBER(D16)),IF(4&lt;='Assumptions'!$D$37,J30,MIN(J29+J30,D16)),"n.a.")</x:f>
        <x:v>21125</x:v>
      </x:c>
      <x:c r="K31" s="56" t="n">
        <x:f>IF(AND(ISNUMBER('Assumptions'!$D$37),ISNUMBER(K30),ISNUMBER(K29),ISNUMBER(D16)),IF(5&lt;='Assumptions'!$D$37,K30,MIN(K29+K30,D16)),"n.a.")</x:f>
        <x:v>21125</x:v>
      </x:c>
      <x:c r="L31" s="56" t="n">
        <x:f>IF(AND(ISNUMBER('Assumptions'!$D$37),ISNUMBER(L30),ISNUMBER(L29),ISNUMBER(D16)),IF(6&lt;='Assumptions'!$D$37,L30,MIN(L29+L30,D16)),"n.a.")</x:f>
        <x:v>21125</x:v>
      </x:c>
      <x:c r="M31" s="56" t="n">
        <x:f>IF(AND(ISNUMBER('Assumptions'!$D$37),ISNUMBER(M30),ISNUMBER(M29),ISNUMBER(D16)),IF(7&lt;='Assumptions'!$D$37,M30,MIN(M29+M30,D16)),"n.a.")</x:f>
        <x:v>26333.079292558024</x:v>
      </x:c>
      <x:c r="N31" s="56" t="n">
        <x:f>IF(AND(ISNUMBER('Assumptions'!$D$37),ISNUMBER(N30),ISNUMBER(N29),ISNUMBER(D16)),IF(8&lt;='Assumptions'!$D$37,N30,MIN(N29+N30,D16)),"n.a.")</x:f>
        <x:v>26333.079292558024</x:v>
      </x:c>
      <x:c r="O31" s="56" t="n">
        <x:f>IF(AND(ISNUMBER('Assumptions'!$D$37),ISNUMBER(O30),ISNUMBER(O29),ISNUMBER(D16)),IF(9&lt;='Assumptions'!$D$37,O30,MIN(O29+O30,D16)),"n.a.")</x:f>
        <x:v>26333.079292558024</x:v>
      </x:c>
      <x:c r="P31" s="56" t="n">
        <x:f>IF(AND(ISNUMBER('Assumptions'!$D$37),ISNUMBER(P30),ISNUMBER(P29),ISNUMBER(D16)),IF(10&lt;='Assumptions'!$D$37,P30,MIN(P29+P30,D16)),"n.a.")</x:f>
        <x:v>26333.079292558024</x:v>
      </x:c>
      <x:c r="Q31" s="56" t="n">
        <x:f>IF(AND(ISNUMBER('Assumptions'!$D$37),ISNUMBER(Q30),ISNUMBER(Q29),ISNUMBER(D16)),IF(11&lt;='Assumptions'!$D$37,Q30,MIN(Q29+Q30,D16)),"n.a.")</x:f>
        <x:v>26333.079292558024</x:v>
      </x:c>
      <x:c r="R31" s="56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5" t="n">
        <x:f>IF(AND(ISNUMBER(G31),ISNUMBER(G30)),G31-G30,"n.a.")</x:f>
        <x:v>0</x:v>
      </x:c>
      <x:c r="H32" s="55" t="n">
        <x:f>IF(AND(ISNUMBER(H31),ISNUMBER(H30)),H31-H30,"n.a.")</x:f>
        <x:v>0</x:v>
      </x:c>
      <x:c r="I32" s="55" t="n">
        <x:f>IF(AND(ISNUMBER(I31),ISNUMBER(I30)),I31-I30,"n.a.")</x:f>
        <x:v>0</x:v>
      </x:c>
      <x:c r="J32" s="55" t="n">
        <x:f>IF(AND(ISNUMBER(J31),ISNUMBER(J30)),J31-J30,"n.a.")</x:f>
        <x:v>0</x:v>
      </x:c>
      <x:c r="K32" s="55" t="n">
        <x:f>IF(AND(ISNUMBER(K31),ISNUMBER(K30)),K31-K30,"n.a.")</x:f>
        <x:v>0</x:v>
      </x:c>
      <x:c r="L32" s="55" t="n">
        <x:f>IF(AND(ISNUMBER(L31),ISNUMBER(L30)),L31-L30,"n.a.")</x:f>
        <x:v>0</x:v>
      </x:c>
      <x:c r="M32" s="55" t="n">
        <x:f>IF(AND(ISNUMBER(M31),ISNUMBER(M30)),M31-M30,"n.a.")</x:f>
        <x:v>5208.0792925580245</x:v>
      </x:c>
      <x:c r="N32" s="55" t="n">
        <x:f>IF(AND(ISNUMBER(N31),ISNUMBER(N30)),N31-N30,"n.a.")</x:f>
        <x:v>5236.28972205938</x:v>
      </x:c>
      <x:c r="O32" s="55" t="n">
        <x:f>IF(AND(ISNUMBER(O31),ISNUMBER(O30)),O31-O30,"n.a.")</x:f>
        <x:v>5264.652958053866</x:v>
      </x:c>
      <x:c r="P32" s="55" t="n">
        <x:f>IF(AND(ISNUMBER(P31),ISNUMBER(P30)),P31-P30,"n.a.")</x:f>
        <x:v>5293.169828243328</x:v>
      </x:c>
      <x:c r="Q32" s="55" t="n">
        <x:f>IF(AND(ISNUMBER(Q31),ISNUMBER(Q30)),Q31-Q30,"n.a.")</x:f>
        <x:v>5321.84116481298</x:v>
      </x:c>
      <x:c r="R32" s="55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5" t="n">
        <x:f>IF(AND(ISNUMBER(G29),ISNUMBER(G32),ISNUMBER(G38)),G29-G32-G38,"n.a.")</x:f>
        <x:v>3900000</x:v>
      </x:c>
      <x:c r="H33" s="55" t="n">
        <x:f>IF(AND(ISNUMBER(H29),ISNUMBER(H32),ISNUMBER(H38)),H29-H32-H38,"n.a.")</x:f>
        <x:v>3900000</x:v>
      </x:c>
      <x:c r="I33" s="55" t="n">
        <x:f>IF(AND(ISNUMBER(I29),ISNUMBER(I32),ISNUMBER(I38)),I29-I32-I38,"n.a.")</x:f>
        <x:v>3900000</x:v>
      </x:c>
      <x:c r="J33" s="55" t="n">
        <x:f>IF(AND(ISNUMBER(J29),ISNUMBER(J32),ISNUMBER(J38)),J29-J32-J38,"n.a.")</x:f>
        <x:v>3900000</x:v>
      </x:c>
      <x:c r="K33" s="55" t="n">
        <x:f>IF(AND(ISNUMBER(K29),ISNUMBER(K32),ISNUMBER(K38)),K29-K32-K38,"n.a.")</x:f>
        <x:v>3900000</x:v>
      </x:c>
      <x:c r="L33" s="55" t="n">
        <x:f>IF(AND(ISNUMBER(L29),ISNUMBER(L32),ISNUMBER(L38)),L29-L32-L38,"n.a.")</x:f>
        <x:v>3900000</x:v>
      </x:c>
      <x:c r="M33" s="55" t="n">
        <x:f>IF(AND(ISNUMBER(M29),ISNUMBER(M32),ISNUMBER(M38)),M29-M32-M38,"n.a.")</x:f>
        <x:v>3894791.920707442</x:v>
      </x:c>
      <x:c r="N33" s="55" t="n">
        <x:f>IF(AND(ISNUMBER(N29),ISNUMBER(N32),ISNUMBER(N38)),N29-N32-N38,"n.a.")</x:f>
        <x:v>3889555.6309853825</x:v>
      </x:c>
      <x:c r="O33" s="55" t="n">
        <x:f>IF(AND(ISNUMBER(O29),ISNUMBER(O32),ISNUMBER(O38)),O29-O32-O38,"n.a.")</x:f>
        <x:v>3884290.9780273284</x:v>
      </x:c>
      <x:c r="P33" s="55" t="n">
        <x:f>IF(AND(ISNUMBER(P29),ISNUMBER(P32),ISNUMBER(P38)),P29-P32-P38,"n.a.")</x:f>
        <x:v>3878997.808199085</x:v>
      </x:c>
      <x:c r="Q33" s="55" t="n">
        <x:f>IF(AND(ISNUMBER(Q29),ISNUMBER(Q32),ISNUMBER(Q38)),Q29-Q32-Q38,"n.a.")</x:f>
        <x:v>3873675.967034272</x:v>
      </x:c>
      <x:c r="R33" s="55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56" t="n">
        <x:f>IF(AND(ISNUMBER('Operations'!G29)),'Operations'!G29,"n.a.")</x:f>
        <x:v>150460.625</x:v>
      </x:c>
      <x:c r="H34" s="56" t="n">
        <x:f>IF(AND(ISNUMBER('Operations'!H29)),'Operations'!H29,"n.a.")</x:f>
        <x:v>150460.625</x:v>
      </x:c>
      <x:c r="I34" s="56" t="n">
        <x:f>IF(AND(ISNUMBER('Operations'!I29)),'Operations'!I29,"n.a.")</x:f>
        <x:v>150460.625</x:v>
      </x:c>
      <x:c r="J34" s="56" t="n">
        <x:f>IF(AND(ISNUMBER('Operations'!J29)),'Operations'!J29,"n.a.")</x:f>
        <x:v>150460.625</x:v>
      </x:c>
      <x:c r="K34" s="56" t="n">
        <x:f>IF(AND(ISNUMBER('Operations'!K29)),'Operations'!K29,"n.a.")</x:f>
        <x:v>150460.625</x:v>
      </x:c>
      <x:c r="L34" s="56" t="n">
        <x:f>IF(AND(ISNUMBER('Operations'!L29)),'Operations'!L29,"n.a.")</x:f>
        <x:v>150460.625</x:v>
      </x:c>
      <x:c r="M34" s="56" t="n">
        <x:f>IF(AND(ISNUMBER('Operations'!M29)),'Operations'!M29,"n.a.")</x:f>
        <x:v>76195.00000000001</x:v>
      </x:c>
      <x:c r="N34" s="56" t="n">
        <x:f>IF(AND(ISNUMBER('Operations'!N29)),'Operations'!N29,"n.a.")</x:f>
        <x:v>76195.00000000001</x:v>
      </x:c>
      <x:c r="O34" s="56" t="n">
        <x:f>IF(AND(ISNUMBER('Operations'!O29)),'Operations'!O29,"n.a.")</x:f>
        <x:v>76195.00000000001</x:v>
      </x:c>
      <x:c r="P34" s="56" t="n">
        <x:f>IF(AND(ISNUMBER('Operations'!P29)),'Operations'!P29,"n.a.")</x:f>
        <x:v>11932.5</x:v>
      </x:c>
      <x:c r="Q34" s="56" t="n">
        <x:f>IF(AND(ISNUMBER('Operations'!Q29)),'Operations'!Q29,"n.a.")</x:f>
        <x:v>21531.45833333333</x:v>
      </x:c>
      <x:c r="R34" s="56" t="n">
        <x:f>IF(AND(ISNUMBER('Operations'!R29)),'Operations'!R29,"n.a.")</x:f>
        <x:v>21531.45833333333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56" t="n">
        <x:f>IF(AND(ISNUMBER('Operations'!G24)),'Operations'!G24,"n.a.")</x:f>
        <x:v>0</x:v>
      </x:c>
      <x:c r="H35" s="56" t="n">
        <x:f>IF(AND(ISNUMBER('Operations'!H24)),'Operations'!H24,"n.a.")</x:f>
        <x:v>0</x:v>
      </x:c>
      <x:c r="I35" s="56" t="n">
        <x:f>IF(AND(ISNUMBER('Operations'!I24)),'Operations'!I24,"n.a.")</x:f>
        <x:v>0</x:v>
      </x:c>
      <x:c r="J35" s="56" t="n">
        <x:f>IF(AND(ISNUMBER('Operations'!J24)),'Operations'!J24,"n.a.")</x:f>
        <x:v>150000</x:v>
      </x:c>
      <x:c r="K35" s="56" t="n">
        <x:f>IF(AND(ISNUMBER('Operations'!K24)),'Operations'!K24,"n.a.")</x:f>
        <x:v>0</x:v>
      </x:c>
      <x:c r="L35" s="56" t="n">
        <x:f>IF(AND(ISNUMBER('Operations'!L24)),'Operations'!L24,"n.a.")</x:f>
        <x:v>0</x:v>
      </x:c>
      <x:c r="M35" s="56" t="n">
        <x:f>IF(AND(ISNUMBER('Operations'!M24)),'Operations'!M24,"n.a.")</x:f>
        <x:v>0</x:v>
      </x:c>
      <x:c r="N35" s="56" t="n">
        <x:f>IF(AND(ISNUMBER('Operations'!N24)),'Operations'!N24,"n.a.")</x:f>
        <x:v>0</x:v>
      </x:c>
      <x:c r="O35" s="56" t="n">
        <x:f>IF(AND(ISNUMBER('Operations'!O24)),'Operations'!O24,"n.a.")</x:f>
        <x:v>0</x:v>
      </x:c>
      <x:c r="P35" s="56" t="n">
        <x:f>IF(AND(ISNUMBER('Operations'!P24)),'Operations'!P24,"n.a.")</x:f>
        <x:v>0</x:v>
      </x:c>
      <x:c r="Q35" s="56" t="n">
        <x:f>IF(AND(ISNUMBER('Operations'!Q24)),'Operations'!Q24,"n.a.")</x:f>
        <x:v>1475000</x:v>
      </x:c>
      <x:c r="R35" s="56" t="n">
        <x:f>IF(AND(ISNUMBER('Operations'!R24)),'Operations'!R24,"n.a.")</x:f>
        <x:v>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5" t="n">
        <x:f>IF(AND(ISNUMBER(G34),ISNUMBER(G31),ISNUMBER(G35),ISNUMBER(G38)),G34-G31-G35-G38,"n.a.")</x:f>
        <x:v>129335.625</x:v>
      </x:c>
      <x:c r="H36" s="55" t="n">
        <x:f>IF(AND(ISNUMBER(H34),ISNUMBER(H31),ISNUMBER(H35),ISNUMBER(H38)),H34-H31-H35-H38,"n.a.")</x:f>
        <x:v>129335.625</x:v>
      </x:c>
      <x:c r="I36" s="55" t="n">
        <x:f>IF(AND(ISNUMBER(I34),ISNUMBER(I31),ISNUMBER(I35),ISNUMBER(I38)),I34-I31-I35-I38,"n.a.")</x:f>
        <x:v>129335.625</x:v>
      </x:c>
      <x:c r="J36" s="55" t="n">
        <x:f>IF(AND(ISNUMBER(J34),ISNUMBER(J31),ISNUMBER(J35),ISNUMBER(J38)),J34-J31-J35-J38,"n.a.")</x:f>
        <x:v>-20664.375</x:v>
      </x:c>
      <x:c r="K36" s="55" t="n">
        <x:f>IF(AND(ISNUMBER(K34),ISNUMBER(K31),ISNUMBER(K35),ISNUMBER(K38)),K34-K31-K35-K38,"n.a.")</x:f>
        <x:v>129335.625</x:v>
      </x:c>
      <x:c r="L36" s="55" t="n">
        <x:f>IF(AND(ISNUMBER(L34),ISNUMBER(L31),ISNUMBER(L35),ISNUMBER(L38)),L34-L31-L35-L38,"n.a.")</x:f>
        <x:v>129335.625</x:v>
      </x:c>
      <x:c r="M36" s="55" t="n">
        <x:f>IF(AND(ISNUMBER(M34),ISNUMBER(M31),ISNUMBER(M35),ISNUMBER(M38)),M34-M31-M35-M38,"n.a.")</x:f>
        <x:v>49861.92070744199</x:v>
      </x:c>
      <x:c r="N36" s="55" t="n">
        <x:f>IF(AND(ISNUMBER(N34),ISNUMBER(N31),ISNUMBER(N35),ISNUMBER(N38)),N34-N31-N35-N38,"n.a.")</x:f>
        <x:v>49861.92070744199</x:v>
      </x:c>
      <x:c r="O36" s="55" t="n">
        <x:f>IF(AND(ISNUMBER(O34),ISNUMBER(O31),ISNUMBER(O35),ISNUMBER(O38)),O34-O31-O35-O38,"n.a.")</x:f>
        <x:v>49861.92070744199</x:v>
      </x:c>
      <x:c r="P36" s="55" t="n">
        <x:f>IF(AND(ISNUMBER(P34),ISNUMBER(P31),ISNUMBER(P35),ISNUMBER(P38)),P34-P31-P35-P38,"n.a.")</x:f>
        <x:v>-14400.579292558024</x:v>
      </x:c>
      <x:c r="Q36" s="55" t="n">
        <x:f>IF(AND(ISNUMBER(Q34),ISNUMBER(Q31),ISNUMBER(Q35),ISNUMBER(Q38)),Q34-Q31-Q35-Q38,"n.a.")</x:f>
        <x:v>-1479801.6209592246</x:v>
      </x:c>
      <x:c r="R36" s="55" t="n">
        <x:f>IF(AND(ISNUMBER(R34),ISNUMBER(R31),ISNUMBER(R35),ISNUMBER(R38)),R34-R31-R35-R38,"n.a.")</x:f>
        <x:v>-4801.620959224696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56" t="n">
        <x:f>IF(AND(ISNUMBER('Assumptions'!$D$22),ISNUMBER(G36)),'Assumptions'!$D$22+G36,"n.a.")</x:f>
        <x:v>279335.625</x:v>
      </x:c>
      <x:c r="H37" s="55" t="n">
        <x:f>IF(AND(ISNUMBER(G37),ISNUMBER(H36)),G37+H36,"n.a.")</x:f>
        <x:v>408671.25</x:v>
      </x:c>
      <x:c r="I37" s="55" t="n">
        <x:f>IF(AND(ISNUMBER(H37),ISNUMBER(I36)),H37+I36,"n.a.")</x:f>
        <x:v>538006.875</x:v>
      </x:c>
      <x:c r="J37" s="55" t="n">
        <x:f>IF(AND(ISNUMBER(I37),ISNUMBER(J36)),I37+J36,"n.a.")</x:f>
        <x:v>517342.5</x:v>
      </x:c>
      <x:c r="K37" s="55" t="n">
        <x:f>IF(AND(ISNUMBER(J37),ISNUMBER(K36)),J37+K36,"n.a.")</x:f>
        <x:v>646678.125</x:v>
      </x:c>
      <x:c r="L37" s="55" t="n">
        <x:f>IF(AND(ISNUMBER(K37),ISNUMBER(L36)),K37+L36,"n.a.")</x:f>
        <x:v>776013.75</x:v>
      </x:c>
      <x:c r="M37" s="55" t="n">
        <x:f>IF(AND(ISNUMBER(L37),ISNUMBER(M36)),L37+M36,"n.a.")</x:f>
        <x:v>825875.670707442</x:v>
      </x:c>
      <x:c r="N37" s="55" t="n">
        <x:f>IF(AND(ISNUMBER(M37),ISNUMBER(N36)),M37+N36,"n.a.")</x:f>
        <x:v>875737.591414884</x:v>
      </x:c>
      <x:c r="O37" s="55" t="n">
        <x:f>IF(AND(ISNUMBER(N37),ISNUMBER(O36)),N37+O36,"n.a.")</x:f>
        <x:v>925599.512122326</x:v>
      </x:c>
      <x:c r="P37" s="55" t="n">
        <x:f>IF(AND(ISNUMBER(O37),ISNUMBER(P36)),O37+P36,"n.a.")</x:f>
        <x:v>911198.9328297679</x:v>
      </x:c>
      <x:c r="Q37" s="55" t="n">
        <x:f>IF(AND(ISNUMBER(P37),ISNUMBER(Q36)),P37+Q36,"n.a.")</x:f>
        <x:v>-568602.6881294567</x:v>
      </x:c>
      <x:c r="R37" s="55" t="n">
        <x:f>IF(AND(ISNUMBER(Q37),ISNUMBER(R36)),Q37+R36,"n.a.")</x:f>
        <x:v>-573404.3090886814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56" t="n">
        <x:f>IF(AND(ISNUMBER('Assumptions'!$D$40),ISNUMBER(G29),ISNUMBER(G32)),IF(1='Assumptions'!$D$40,G29-G32,0),"n.a.")</x:f>
        <x:v>0</x:v>
      </x:c>
      <x:c r="H38" s="56" t="n">
        <x:f>IF(AND(ISNUMBER('Assumptions'!$D$40),ISNUMBER(H29),ISNUMBER(H32)),IF(2='Assumptions'!$D$40,H29-H32,0),"n.a.")</x:f>
        <x:v>0</x:v>
      </x:c>
      <x:c r="I38" s="56" t="n">
        <x:f>IF(AND(ISNUMBER('Assumptions'!$D$40),ISNUMBER(I29),ISNUMBER(I32)),IF(3='Assumptions'!$D$40,I29-I32,0),"n.a.")</x:f>
        <x:v>0</x:v>
      </x:c>
      <x:c r="J38" s="56" t="n">
        <x:f>IF(AND(ISNUMBER('Assumptions'!$D$40),ISNUMBER(J29),ISNUMBER(J32)),IF(4='Assumptions'!$D$40,J29-J32,0),"n.a.")</x:f>
        <x:v>0</x:v>
      </x:c>
      <x:c r="K38" s="56" t="n">
        <x:f>IF(AND(ISNUMBER('Assumptions'!$D$40),ISNUMBER(K29),ISNUMBER(K32)),IF(5='Assumptions'!$D$40,K29-K32,0),"n.a.")</x:f>
        <x:v>0</x:v>
      </x:c>
      <x:c r="L38" s="56" t="n">
        <x:f>IF(AND(ISNUMBER('Assumptions'!$D$40),ISNUMBER(L29),ISNUMBER(L32)),IF(6='Assumptions'!$D$40,L29-L32,0),"n.a.")</x:f>
        <x:v>0</x:v>
      </x:c>
      <x:c r="M38" s="56" t="n">
        <x:f>IF(AND(ISNUMBER('Assumptions'!$D$40),ISNUMBER(M29),ISNUMBER(M32)),IF(7='Assumptions'!$D$40,M29-M32,0),"n.a.")</x:f>
        <x:v>0</x:v>
      </x:c>
      <x:c r="N38" s="56" t="n">
        <x:f>IF(AND(ISNUMBER('Assumptions'!$D$40),ISNUMBER(N29),ISNUMBER(N32)),IF(8='Assumptions'!$D$40,N29-N32,0),"n.a.")</x:f>
        <x:v>0</x:v>
      </x:c>
      <x:c r="O38" s="56" t="n">
        <x:f>IF(AND(ISNUMBER('Assumptions'!$D$40),ISNUMBER(O29),ISNUMBER(O32)),IF(9='Assumptions'!$D$40,O29-O32,0),"n.a.")</x:f>
        <x:v>0</x:v>
      </x:c>
      <x:c r="P38" s="56" t="n">
        <x:f>IF(AND(ISNUMBER('Assumptions'!$D$40),ISNUMBER(P29),ISNUMBER(P32)),IF(10='Assumptions'!$D$40,P29-P32,0),"n.a.")</x:f>
        <x:v>0</x:v>
      </x:c>
      <x:c r="Q38" s="56" t="n">
        <x:f>IF(AND(ISNUMBER('Assumptions'!$D$40),ISNUMBER(Q29),ISNUMBER(Q32)),IF(11='Assumptions'!$D$40,Q29-Q32,0),"n.a.")</x:f>
        <x:v>0</x:v>
      </x:c>
      <x:c r="R38" s="56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8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57" t="n">
        <x:f>IF(AND(ISNUMBER(D43),ISNUMBER(D9)),IF(D43=0,"n.a.",D9/D43),"n.a.")</x:f>
        <x:v>4.166288031989175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8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8" t="n">
        <x:f>IF(AND(ISNUMBER(G37),ISNUMBER(R37)),IF(COUNT(G37:R37)=12,MAX(0,-MIN(G37:R37)),"n.a."),"n.a.")</x:f>
        <x:v>573404.3090886814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8" t="n">
        <x:f>IF(AND(ISNUMBER(D19),ISNUMBER(D46)),D19-D46,"n.a.")</x:f>
        <x:v>-73404.30908868136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8" t="n">
        <x:f>IF(AND(ISNUMBER(R37)),R37,"n.a.")</x:f>
        <x:v>-573404.3090886814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67" t="n">
        <x:f>26-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,'Assumptions'!$D$82,'Assumptions'!$D$85)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67" t="n">
        <x:f>COUNTIFS('Lease Schedule'!N10:N12,"Missing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67" t="n">
        <x:f>IF(AND(ISNUMBER('Operations'!E27),ISNUMBER('Operations'!E22),ISNUMBER('Operations'!E26)),'Operations'!E27-'Operations'!E22+'Operations'!E26,"n.a.")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67" t="n">
        <x:f>IF(AND(ISNUMBER('Operations'!E29),ISNUMBER('Operations'!E27),ISNUMBER('Operations'!E28)),'Operations'!E29-'Operations'!E27+'Operations'!E28,"n.a.")</x:f>
        <x:v>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67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67" t="n">
        <x:f>IF(COUNT('Debt and Funding'!G34:R36)=36,'Debt and Funding'!R37-'Assumptions'!$D$22-SUM('Debt and Funding'!G34:R34)+SUM('Debt and Funding'!G31:R31)+SUM('Debt and Funding'!G35:R35)+SUM('Debt and Funding'!G38:R38),"n.a.")</x:f>
        <x:v>2.3283064365386963e-10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67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Three tenant cohorts. Month13 means no expiry inside this twelve-month horizon.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Expiration is the first unpaid old-lease month.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New occupancy begins after downtime plus selected additional downtime. Free rent begins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at new occupancy; recoveries resume at occupancy. TI and LC fund at occupancy.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LC uses new annual contractual rent times entered lease term and LC fraction; it is not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reduced for free rent. Lease revenue shocks do not change contractual LC basis.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Activity multiplier is an economic collection sensitivity; it does not alter leased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area, legal rights or the scheduled TI obligation.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TI and LC scheduled after month 12 remain future obligations outside this twelve-month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cash model. A delay that lowers current cash needs is not a cost saving. Test the later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funding requirement separately.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Parking cash and common-area work are separate from reimbursable service costs and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tenant-specific work.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