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ebad3fe1f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a7c906a68eff4a45"/>
    <x:sheet xmlns:r="http://schemas.openxmlformats.org/officeDocument/2006/relationships" name="Assumptions" sheetId="2" r:id="R869a627caa6e4878"/>
    <x:sheet xmlns:r="http://schemas.openxmlformats.org/officeDocument/2006/relationships" name="Site Nights" sheetId="3" r:id="Ra9d1eaf3358b4a4b"/>
    <x:sheet xmlns:r="http://schemas.openxmlformats.org/officeDocument/2006/relationships" name="Operations" sheetId="4" r:id="Rfa0db22981df4727"/>
    <x:sheet xmlns:r="http://schemas.openxmlformats.org/officeDocument/2006/relationships" name="Debt and Funding" sheetId="5" r:id="R6052144d8844405f"/>
    <x:sheet xmlns:r="http://schemas.openxmlformats.org/officeDocument/2006/relationships" name="Review" sheetId="6" r:id="R3a1bbb8fc6384d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;($#,##0);&quot;—&quot;"/>
    <x:numFmt numFmtId="203" formatCode="$#,##0.00;($#,##0.00);&quot;—&quot;"/>
    <x:numFmt numFmtId="204" formatCode="  @"/>
    <x:numFmt numFmtId="205" formatCode="0.0%;(0.0%);&quot;—&quot;"/>
    <x:numFmt numFmtId="206" formatCode="0.00&quot;x&quot;"/>
    <x:numFmt numFmtId="207" formatCode="mmm-yy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4" fontId="13" fillId="0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6" fontId="10" fillId="4" borderId="0" xfId="0" applyNumberFormat="1" applyFont="1" applyFill="1" applyBorder="1" applyAlignment="1">
      <x:alignment vertical="center"/>
    </x:xf>
    <x:xf numFmtId="206" fontId="7" fillId="2" borderId="0" xfId="0" applyNumberFormat="1" applyFont="1" applyFill="1" applyBorder="1" applyAlignment="1">
      <x:alignment vertical="center"/>
    </x:xf>
    <x:xf numFmtId="206" fontId="12" fillId="4" borderId="0" xfId="0" applyNumberFormat="1" applyFont="1" applyFill="1" applyBorder="1" applyAlignment="1">
      <x:alignment vertical="center"/>
    </x:xf>
    <x:xf numFmtId="206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7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7" fontId="4" fillId="3" borderId="0" xfId="0" applyNumberFormat="1" applyFont="1" applyFill="1" applyBorder="1" applyAlignment="1">
      <x:alignment horizontal="center" vertical="center" wrapText="1"/>
    </x:xf>
    <x:xf numFmtId="207" fontId="8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2" fontId="10" fillId="4" borderId="1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2" fontId="3" fillId="0" borderId="0" xfId="0" applyNumberFormat="1" applyFont="1" applyFill="1" applyBorder="1" applyAlignment="1">
      <x:alignment horizontal="right" vertical="center"/>
    </x:xf>
    <x:xf numFmtId="206" fontId="6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vertical="center"/>
    </x:xf>
    <x:xf numFmtId="202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f7dea59b747e9" /><Relationship Type="http://schemas.openxmlformats.org/officeDocument/2006/relationships/theme" Target="/xl/theme/theme1.xml" Id="Ra7e5a702a8f94b6d" /><Relationship Type="http://schemas.openxmlformats.org/officeDocument/2006/relationships/sharedStrings" Target="/xl/sharedStrings.xml" Id="R5dcb65a235fa4515" /><Relationship Type="http://schemas.openxmlformats.org/officeDocument/2006/relationships/worksheet" Target="/xl/worksheets/sheet1.xml" Id="Ra7c906a68eff4a45" /><Relationship Type="http://schemas.openxmlformats.org/officeDocument/2006/relationships/worksheet" Target="/xl/worksheets/sheet2.xml" Id="R869a627caa6e4878" /><Relationship Type="http://schemas.openxmlformats.org/officeDocument/2006/relationships/worksheet" Target="/xl/worksheets/sheet3.xml" Id="Ra9d1eaf3358b4a4b" /><Relationship Type="http://schemas.openxmlformats.org/officeDocument/2006/relationships/worksheet" Target="/xl/worksheets/sheet4.xml" Id="Rfa0db22981df4727" /><Relationship Type="http://schemas.openxmlformats.org/officeDocument/2006/relationships/worksheet" Target="/xl/worksheets/sheet5.xml" Id="R6052144d8844405f" /><Relationship Type="http://schemas.openxmlformats.org/officeDocument/2006/relationships/worksheet" Target="/xl/worksheets/sheet6.xml" Id="R3a1bbb8fc6384d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RV parks and campgrounds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50" t="n">
        <x:f>'Operations'!E14</x:f>
        <x:v>1904937.14</x:v>
      </x:c>
      <x:c r="E10" s="2"/>
      <x:c r="F10" s="2"/>
      <x:c r="G10" s="67" t="n">
        <x:f>'Operations'!G9</x:f>
        <x:v>46388</x:v>
      </x:c>
      <x:c r="H10" s="68" t="n">
        <x:f>'Debt and Funding'!G36</x:f>
        <x:v>50470.652799999996</x:v>
      </x:c>
      <x:c r="I10" s="68" t="n">
        <x:f>'Debt and Funding'!G37</x:f>
        <x:v>200470.65279999998</x:v>
      </x:c>
      <x:c r="J10" s="68" t="n">
        <x:f>'Debt and Funding'!G33</x:f>
        <x:v>3900000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50" t="n">
        <x:f>'Operations'!E18</x:f>
        <x:v>630525.2799999999</x:v>
      </x:c>
      <x:c r="E11" s="2"/>
      <x:c r="F11" s="2"/>
      <x:c r="G11" s="67" t="n">
        <x:f>'Operations'!H9</x:f>
        <x:v>46419</x:v>
      </x:c>
      <x:c r="H11" s="68" t="n">
        <x:f>'Debt and Funding'!H36</x:f>
        <x:v>44101.788799999995</x:v>
      </x:c>
      <x:c r="I11" s="68" t="n">
        <x:f>'Debt and Funding'!H37</x:f>
        <x:v>244572.44159999996</x:v>
      </x:c>
      <x:c r="J11" s="68" t="n">
        <x:f>'Debt and Funding'!H33</x:f>
        <x:v>3900000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50" t="n">
        <x:f>'Operations'!E19</x:f>
        <x:v>1274411.8599999999</x:v>
      </x:c>
      <x:c r="E12" s="2"/>
      <x:c r="F12" s="2"/>
      <x:c r="G12" s="67" t="n">
        <x:f>'Operations'!I9</x:f>
        <x:v>46447</x:v>
      </x:c>
      <x:c r="H12" s="68" t="n">
        <x:f>'Debt and Funding'!I36</x:f>
        <x:v>65278.2616</x:v>
      </x:c>
      <x:c r="I12" s="68" t="n">
        <x:f>'Debt and Funding'!I37</x:f>
        <x:v>309850.7032</x:v>
      </x:c>
      <x:c r="J12" s="68" t="n">
        <x:f>'Debt and Funding'!I33</x:f>
        <x:v>3900000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50" t="n">
        <x:f>'Operations'!E20</x:f>
        <x:v>57148.1142</x:v>
      </x:c>
      <x:c r="E13" s="2"/>
      <x:c r="F13" s="2"/>
      <x:c r="G13" s="67" t="n">
        <x:f>'Operations'!J9</x:f>
        <x:v>46478</x:v>
      </x:c>
      <x:c r="H13" s="68" t="n">
        <x:f>'Debt and Funding'!J36</x:f>
        <x:v>2570.3899999999994</x:v>
      </x:c>
      <x:c r="I13" s="68" t="n">
        <x:f>'Debt and Funding'!J37</x:f>
        <x:v>312421.0932</x:v>
      </x:c>
      <x:c r="J13" s="68" t="n">
        <x:f>'Debt and Funding'!J33</x:f>
        <x:v>3900000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50" t="n">
        <x:f>'Operations'!E21</x:f>
        <x:v>1217263.7458</x:v>
      </x:c>
      <x:c r="E14" s="2"/>
      <x:c r="F14" s="2"/>
      <x:c r="G14" s="67" t="n">
        <x:f>'Operations'!K9</x:f>
        <x:v>46508</x:v>
      </x:c>
      <x:c r="H14" s="68" t="n">
        <x:f>'Debt and Funding'!K36</x:f>
        <x:v>89957.6096</x:v>
      </x:c>
      <x:c r="I14" s="68" t="n">
        <x:f>'Debt and Funding'!K37</x:f>
        <x:v>402378.70279999997</x:v>
      </x:c>
      <x:c r="J14" s="68" t="n">
        <x:f>'Debt and Funding'!K33</x:f>
        <x:v>3900000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50" t="n">
        <x:f>'Debt and Funding'!D9</x:f>
        <x:v>1217263.7458</x:v>
      </x:c>
      <x:c r="E15" s="2"/>
      <x:c r="F15" s="2"/>
      <x:c r="G15" s="67" t="n">
        <x:f>'Operations'!L9</x:f>
        <x:v>46539</x:v>
      </x:c>
      <x:c r="H15" s="68" t="n">
        <x:f>'Debt and Funding'!L36</x:f>
        <x:v>98953.63</x:v>
      </x:c>
      <x:c r="I15" s="68" t="n">
        <x:f>'Debt and Funding'!L37</x:f>
        <x:v>501332.3328</x:v>
      </x:c>
      <x:c r="J15" s="68" t="n">
        <x:f>'Debt and Funding'!L33</x:f>
        <x:v>3900000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50" t="n">
        <x:f>'Debt and Funding'!D11</x:f>
        <x:v>12018669.385066662</x:v>
      </x:c>
      <x:c r="E16" s="2"/>
      <x:c r="F16" s="2"/>
      <x:c r="G16" s="67" t="n">
        <x:f>'Operations'!M9</x:f>
        <x:v>46569</x:v>
      </x:c>
      <x:c r="H16" s="68" t="n">
        <x:f>'Debt and Funding'!M36</x:f>
        <x:v>104493.00870744197</x:v>
      </x:c>
      <x:c r="I16" s="68" t="n">
        <x:f>'Debt and Funding'!M37</x:f>
        <x:v>605825.341507442</x:v>
      </x:c>
      <x:c r="J16" s="68" t="n">
        <x:f>'Debt and Funding'!M33</x:f>
        <x:v>3894791.920707442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50" t="n">
        <x:f>'Debt and Funding'!D12</x:f>
        <x:v>3900000</x:v>
      </x:c>
      <x:c r="E17" s="2"/>
      <x:c r="F17" s="2"/>
      <x:c r="G17" s="67" t="n">
        <x:f>'Operations'!N9</x:f>
        <x:v>46600</x:v>
      </x:c>
      <x:c r="H17" s="68" t="n">
        <x:f>'Debt and Funding'!N36</x:f>
        <x:v>100791.10650744193</x:v>
      </x:c>
      <x:c r="I17" s="68" t="n">
        <x:f>'Debt and Funding'!N37</x:f>
        <x:v>706616.4480148839</x:v>
      </x:c>
      <x:c r="J17" s="68" t="n">
        <x:f>'Debt and Funding'!N33</x:f>
        <x:v>3889555.6309853825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50" t="n">
        <x:f>'Debt and Funding'!D13</x:f>
        <x:v>13525152.731111111</x:v>
      </x:c>
      <x:c r="E18" s="2"/>
      <x:c r="F18" s="2"/>
      <x:c r="G18" s="67" t="n">
        <x:f>'Operations'!O9</x:f>
        <x:v>46631</x:v>
      </x:c>
      <x:c r="H18" s="68" t="n">
        <x:f>'Debt and Funding'!O36</x:f>
        <x:v>85386.41670744197</x:v>
      </x:c>
      <x:c r="I18" s="68" t="n">
        <x:f>'Debt and Funding'!O37</x:f>
        <x:v>792002.8647223259</x:v>
      </x:c>
      <x:c r="J18" s="68" t="n">
        <x:f>'Debt and Funding'!O33</x:f>
        <x:v>3884290.9780273284</x:v>
      </x:c>
      <x:c r="K18" s="2"/>
      <x:c r="L18" s="2"/>
    </x:row>
    <x:row r="19" ht="21" customHeight="1">
      <x:c r="A19" s="2"/>
      <x:c r="B19" s="2"/>
      <x:c r="C19" s="55" t="str">
        <x:v>Sized loan</x:v>
      </x:c>
      <x:c r="D19" s="64" t="n">
        <x:f>'Debt and Funding'!D14</x:f>
        <x:v>3900000</x:v>
      </x:c>
      <x:c r="E19" s="2"/>
      <x:c r="F19" s="2"/>
      <x:c r="G19" s="67" t="n">
        <x:f>'Operations'!P9</x:f>
        <x:v>46661</x:v>
      </x:c>
      <x:c r="H19" s="68" t="n">
        <x:f>'Debt and Funding'!P36</x:f>
        <x:v>79813.66070744197</x:v>
      </x:c>
      <x:c r="I19" s="68" t="n">
        <x:f>'Debt and Funding'!P37</x:f>
        <x:v>871816.5254297679</x:v>
      </x:c>
      <x:c r="J19" s="68" t="n">
        <x:f>'Debt and Funding'!P33</x:f>
        <x:v>3878997.808199085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5" t="str">
        <x:f>'Debt and Funding'!D15</x:f>
        <x:v>LTV</x:v>
      </x:c>
      <x:c r="E20" s="2"/>
      <x:c r="F20" s="2"/>
      <x:c r="G20" s="67" t="n">
        <x:f>'Operations'!Q9</x:f>
        <x:v>46692</x:v>
      </x:c>
      <x:c r="H20" s="68" t="n">
        <x:f>'Debt and Funding'!Q36</x:f>
        <x:v>55532.36670744196</x:v>
      </x:c>
      <x:c r="I20" s="68" t="n">
        <x:f>'Debt and Funding'!Q37</x:f>
        <x:v>927348.8921372099</x:v>
      </x:c>
      <x:c r="J20" s="68" t="n">
        <x:f>'Debt and Funding'!Q33</x:f>
        <x:v>3873675.967034272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50" t="n">
        <x:f>'Debt and Funding'!D43</x:f>
        <x:v>284748.4757553481</x:v>
      </x:c>
      <x:c r="E21" s="2"/>
      <x:c r="F21" s="2"/>
      <x:c r="G21" s="67" t="n">
        <x:f>'Operations'!R9</x:f>
        <x:v>46722</x:v>
      </x:c>
      <x:c r="H21" s="68" t="n">
        <x:f>'Debt and Funding'!R36</x:f>
        <x:v>52666.377907441965</x:v>
      </x:c>
      <x:c r="I21" s="68" t="n">
        <x:f>'Debt and Funding'!R37</x:f>
        <x:v>980015.2700446518</x:v>
      </x:c>
      <x:c r="J21" s="68" t="n">
        <x:f>'Debt and Funding'!R33</x:f>
        <x:v>3868325.299229816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6" t="n">
        <x:f>'Debt and Funding'!D44</x:f>
        <x:v>4.274873614585582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50" t="n">
        <x:f>'Debt and Funding'!D18</x:f>
        <x:v>2000000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50" t="n">
        <x:f>'Debt and Funding'!D19</x:f>
        <x:v>500000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50" t="n">
        <x:f>'Debt and Funding'!D46</x:f>
        <x:v>0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5" t="str">
        <x:v>Sponsor cash after all modeled needs</x:v>
      </x:c>
      <x:c r="D26" s="64" t="n">
        <x:f>'Debt and Funding'!D47</x:f>
        <x:v>500000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50" t="n">
        <x:f>'Debt and Funding'!D45</x:f>
        <x:v>3868325.299229816</x:v>
      </x:c>
      <x:c r="E27" s="2"/>
      <x:c r="F27" s="2"/>
      <x:c r="G27" s="2" t="str">
        <x:v>Edit blue cells in Site Nights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50" t="n">
        <x:f>'Debt and Funding'!D20</x:f>
        <x:v>3574327.7897744942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6000000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6000000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5200000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5500000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5500000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5500000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150000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150000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150000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2500000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2500000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2500000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4000000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4000000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4000000</x:v>
      </x:c>
      <x:c r="E30" s="2"/>
      <x:c r="F30" s="2"/>
      <x:c r="G30" s="42" t="str">
        <x:v>Calendar days drive site-nights. Occupancy is capped at100% after the activity sensitivity.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75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42" t="str">
        <x:v>Annual-site collections are separate from transient-site inventory. Do not include the same sites in both groups.</x:v>
      </x:c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75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42" t="str">
        <x:v>Closed-season months may have zero occupancy. Continuing fixed costs remain.</x:v>
      </x:c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180000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180000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198000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1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1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1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</x:sheetData>
  <x:dataValidations count="44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Site Nights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Transient sites</x:v>
      </x:c>
      <x:c r="E9" s="21" t="str">
        <x:v>Occupied fraction</x:v>
      </x:c>
      <x:c r="F9" s="21" t="str">
        <x:v>Nightly rate</x:v>
      </x:c>
      <x:c r="G9" s="21" t="str">
        <x:v>Ancillary / occupied night</x:v>
      </x:c>
      <x:c r="H9" s="21" t="str">
        <x:v>Cost / occupied night</x:v>
      </x:c>
      <x:c r="I9" s="21" t="str">
        <x:v>Monthly annual-site collections</x:v>
      </x:c>
      <x:c r="J9" s="21" t="str">
        <x:v>Annual-site operating costs</x:v>
      </x:c>
      <x:c r="K9" s="21" t="str">
        <x:v>Monthly seasonal payroll</x:v>
      </x:c>
      <x:c r="L9" s="21" t="str">
        <x:v>Capital work</x:v>
      </x:c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16" t="n">
        <x:v>100</x:v>
      </x:c>
      <x:c r="E10" s="30" t="n">
        <x:v>0.41759999999999997</x:v>
      </x:c>
      <x:c r="F10" s="27" t="n">
        <x:v>65</x:v>
      </x:c>
      <x:c r="G10" s="27" t="n">
        <x:v>14</x:v>
      </x:c>
      <x:c r="H10" s="27" t="n">
        <x:v>8</x:v>
      </x:c>
      <x:c r="I10" s="27" t="n">
        <x:v>25000</x:v>
      </x:c>
      <x:c r="J10" s="27" t="n">
        <x:v>6000</x:v>
      </x:c>
      <x:c r="K10" s="27" t="n">
        <x:v>18000</x:v>
      </x:c>
      <x:c r="L10" s="27" t="n">
        <x:v>2500</x:v>
      </x:c>
      <x:c r="M10" s="2"/>
      <x:c r="N10" s="13" t="str">
        <x:f>IF(AND(IF(ISNUMBER(D10),AND(D10&gt;=0,D10&lt;=1000000000000),FALSE),IF(ISNUMBER(E10),AND(E10&gt;=0,E10&lt;=1),FALSE),IF(ISNUMBER(F10),AND(F10&gt;=0,F10&lt;=1000000000000),FALSE),IF(ISNUMBER(G10),AND(G10&gt;=0,G10&lt;=1000000000000),FALSE),IF(ISNUMBER(H10),AND(H10&gt;=0,H10&lt;=1000000000000),FALSE),IF(ISNUMBER(I10),AND(I10&gt;=0,I10&lt;=1000000000000),FALSE),IF(ISNUMBER(J10),AND(J10&gt;=0,J10&lt;=1000000000000),FALSE),IF(ISNUMBER(K10),AND(K10&gt;=0,K10&lt;=1000000000000),FALSE),IF(ISNUMBER(L10),AND(L10&gt;=0,L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16" t="n">
        <x:v>100</x:v>
      </x:c>
      <x:c r="E11" s="30" t="n">
        <x:v>0.42919999999999997</x:v>
      </x:c>
      <x:c r="F11" s="27" t="n">
        <x:v>65</x:v>
      </x:c>
      <x:c r="G11" s="27" t="n">
        <x:v>14</x:v>
      </x:c>
      <x:c r="H11" s="27" t="n">
        <x:v>8</x:v>
      </x:c>
      <x:c r="I11" s="27" t="n">
        <x:v>25000</x:v>
      </x:c>
      <x:c r="J11" s="27" t="n">
        <x:v>6000</x:v>
      </x:c>
      <x:c r="K11" s="27" t="n">
        <x:v>18000</x:v>
      </x:c>
      <x:c r="L11" s="27" t="n">
        <x:v>2500</x:v>
      </x:c>
      <x:c r="M11" s="2"/>
      <x:c r="N11" s="13" t="str">
        <x:f>IF(AND(IF(ISNUMBER(D11),AND(D11&gt;=0,D11&lt;=1000000000000),FALSE),IF(ISNUMBER(E11),AND(E11&gt;=0,E11&lt;=1),FALSE),IF(ISNUMBER(F11),AND(F11&gt;=0,F11&lt;=1000000000000),FALSE),IF(ISNUMBER(G11),AND(G11&gt;=0,G11&lt;=1000000000000),FALSE),IF(ISNUMBER(H11),AND(H11&gt;=0,H11&lt;=1000000000000),FALSE),IF(ISNUMBER(I11),AND(I11&gt;=0,I11&lt;=1000000000000),FALSE),IF(ISNUMBER(J11),AND(J11&gt;=0,J11&lt;=1000000000000),FALSE),IF(ISNUMBER(K11),AND(K11&gt;=0,K11&lt;=1000000000000),FALSE),IF(ISNUMBER(L11),AND(L11&gt;=0,L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16" t="n">
        <x:v>100</x:v>
      </x:c>
      <x:c r="E12" s="30" t="n">
        <x:v>0.48719999999999997</x:v>
      </x:c>
      <x:c r="F12" s="27" t="n">
        <x:v>65</x:v>
      </x:c>
      <x:c r="G12" s="27" t="n">
        <x:v>14</x:v>
      </x:c>
      <x:c r="H12" s="27" t="n">
        <x:v>8</x:v>
      </x:c>
      <x:c r="I12" s="27" t="n">
        <x:v>25000</x:v>
      </x:c>
      <x:c r="J12" s="27" t="n">
        <x:v>6000</x:v>
      </x:c>
      <x:c r="K12" s="27" t="n">
        <x:v>18000</x:v>
      </x:c>
      <x:c r="L12" s="27" t="n">
        <x:v>2500</x:v>
      </x:c>
      <x:c r="M12" s="2"/>
      <x:c r="N12" s="13" t="str">
        <x:f>IF(AND(IF(ISNUMBER(D12),AND(D12&gt;=0,D12&lt;=1000000000000),FALSE),IF(ISNUMBER(E12),AND(E12&gt;=0,E12&lt;=1),FALSE),IF(ISNUMBER(F12),AND(F12&gt;=0,F12&lt;=1000000000000),FALSE),IF(ISNUMBER(G12),AND(G12&gt;=0,G12&lt;=1000000000000),FALSE),IF(ISNUMBER(H12),AND(H12&gt;=0,H12&lt;=1000000000000),FALSE),IF(ISNUMBER(I12),AND(I12&gt;=0,I12&lt;=1000000000000),FALSE),IF(ISNUMBER(J12),AND(J12&gt;=0,J12&lt;=1000000000000),FALSE),IF(ISNUMBER(K12),AND(K12&gt;=0,K12&lt;=1000000000000),FALSE),IF(ISNUMBER(L12),AND(L12&gt;=0,L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16" t="n">
        <x:v>100</x:v>
      </x:c>
      <x:c r="E13" s="30" t="n">
        <x:v>0.5509999999999999</x:v>
      </x:c>
      <x:c r="F13" s="27" t="n">
        <x:v>65</x:v>
      </x:c>
      <x:c r="G13" s="27" t="n">
        <x:v>14</x:v>
      </x:c>
      <x:c r="H13" s="27" t="n">
        <x:v>8</x:v>
      </x:c>
      <x:c r="I13" s="27" t="n">
        <x:v>25000</x:v>
      </x:c>
      <x:c r="J13" s="27" t="n">
        <x:v>6000</x:v>
      </x:c>
      <x:c r="K13" s="27" t="n">
        <x:v>18000</x:v>
      </x:c>
      <x:c r="L13" s="27" t="n">
        <x:v>75000</x:v>
      </x:c>
      <x:c r="M13" s="2"/>
      <x:c r="N13" s="13" t="str">
        <x:f>IF(AND(IF(ISNUMBER(D13),AND(D13&gt;=0,D13&lt;=1000000000000),FALSE),IF(ISNUMBER(E13),AND(E13&gt;=0,E13&lt;=1),FALSE),IF(ISNUMBER(F13),AND(F13&gt;=0,F13&lt;=1000000000000),FALSE),IF(ISNUMBER(G13),AND(G13&gt;=0,G13&lt;=1000000000000),FALSE),IF(ISNUMBER(H13),AND(H13&gt;=0,H13&lt;=1000000000000),FALSE),IF(ISNUMBER(I13),AND(I13&gt;=0,I13&lt;=1000000000000),FALSE),IF(ISNUMBER(J13),AND(J13&gt;=0,J13&lt;=1000000000000),FALSE),IF(ISNUMBER(K13),AND(K13&gt;=0,K13&lt;=1000000000000),FALSE),IF(ISNUMBER(L13),AND(L13&gt;=0,L13&lt;=1000000000000)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16" t="n">
        <x:v>100</x:v>
      </x:c>
      <x:c r="E14" s="30" t="n">
        <x:v>0.6032</x:v>
      </x:c>
      <x:c r="F14" s="27" t="n">
        <x:v>65</x:v>
      </x:c>
      <x:c r="G14" s="27" t="n">
        <x:v>14</x:v>
      </x:c>
      <x:c r="H14" s="27" t="n">
        <x:v>8</x:v>
      </x:c>
      <x:c r="I14" s="27" t="n">
        <x:v>25000</x:v>
      </x:c>
      <x:c r="J14" s="27" t="n">
        <x:v>6000</x:v>
      </x:c>
      <x:c r="K14" s="27" t="n">
        <x:v>18000</x:v>
      </x:c>
      <x:c r="L14" s="27" t="n">
        <x:v>2500</x:v>
      </x:c>
      <x:c r="M14" s="2"/>
      <x:c r="N14" s="13" t="str">
        <x:f>IF(AND(IF(ISNUMBER(D14),AND(D14&gt;=0,D14&lt;=1000000000000),FALSE),IF(ISNUMBER(E14),AND(E14&gt;=0,E14&lt;=1),FALSE),IF(ISNUMBER(F14),AND(F14&gt;=0,F14&lt;=1000000000000),FALSE),IF(ISNUMBER(G14),AND(G14&gt;=0,G14&lt;=1000000000000),FALSE),IF(ISNUMBER(H14),AND(H14&gt;=0,H14&lt;=1000000000000),FALSE),IF(ISNUMBER(I14),AND(I14&gt;=0,I14&lt;=1000000000000),FALSE),IF(ISNUMBER(J14),AND(J14&gt;=0,J14&lt;=1000000000000),FALSE),IF(ISNUMBER(K14),AND(K14&gt;=0,K14&lt;=1000000000000),FALSE),IF(ISNUMBER(L14),AND(L14&gt;=0,L14&lt;=1000000000000)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16" t="n">
        <x:v>100</x:v>
      </x:c>
      <x:c r="E15" s="30" t="n">
        <x:v>0.6669999999999999</x:v>
      </x:c>
      <x:c r="F15" s="27" t="n">
        <x:v>65</x:v>
      </x:c>
      <x:c r="G15" s="27" t="n">
        <x:v>14</x:v>
      </x:c>
      <x:c r="H15" s="27" t="n">
        <x:v>8</x:v>
      </x:c>
      <x:c r="I15" s="27" t="n">
        <x:v>25000</x:v>
      </x:c>
      <x:c r="J15" s="27" t="n">
        <x:v>6000</x:v>
      </x:c>
      <x:c r="K15" s="27" t="n">
        <x:v>18000</x:v>
      </x:c>
      <x:c r="L15" s="27" t="n">
        <x:v>2500</x:v>
      </x:c>
      <x:c r="M15" s="2"/>
      <x:c r="N15" s="13" t="str">
        <x:f>IF(AND(IF(ISNUMBER(D15),AND(D15&gt;=0,D15&lt;=1000000000000),FALSE),IF(ISNUMBER(E15),AND(E15&gt;=0,E15&lt;=1),FALSE),IF(ISNUMBER(F15),AND(F15&gt;=0,F15&lt;=1000000000000),FALSE),IF(ISNUMBER(G15),AND(G15&gt;=0,G15&lt;=1000000000000),FALSE),IF(ISNUMBER(H15),AND(H15&gt;=0,H15&lt;=1000000000000),FALSE),IF(ISNUMBER(I15),AND(I15&gt;=0,I15&lt;=1000000000000),FALSE),IF(ISNUMBER(J15),AND(J15&gt;=0,J15&lt;=1000000000000),FALSE),IF(ISNUMBER(K15),AND(K15&gt;=0,K15&lt;=1000000000000),FALSE),IF(ISNUMBER(L15),AND(L15&gt;=0,L15&lt;=1000000000000)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16" t="n">
        <x:v>100</x:v>
      </x:c>
      <x:c r="E16" s="30" t="n">
        <x:v>0.696</x:v>
      </x:c>
      <x:c r="F16" s="27" t="n">
        <x:v>65</x:v>
      </x:c>
      <x:c r="G16" s="27" t="n">
        <x:v>14</x:v>
      </x:c>
      <x:c r="H16" s="27" t="n">
        <x:v>8</x:v>
      </x:c>
      <x:c r="I16" s="27" t="n">
        <x:v>25000</x:v>
      </x:c>
      <x:c r="J16" s="27" t="n">
        <x:v>6000</x:v>
      </x:c>
      <x:c r="K16" s="27" t="n">
        <x:v>18000</x:v>
      </x:c>
      <x:c r="L16" s="27" t="n">
        <x:v>2500</x:v>
      </x:c>
      <x:c r="M16" s="2"/>
      <x:c r="N16" s="13" t="str">
        <x:f>IF(AND(IF(ISNUMBER(D16),AND(D16&gt;=0,D16&lt;=1000000000000),FALSE),IF(ISNUMBER(E16),AND(E16&gt;=0,E16&lt;=1),FALSE),IF(ISNUMBER(F16),AND(F16&gt;=0,F16&lt;=1000000000000),FALSE),IF(ISNUMBER(G16),AND(G16&gt;=0,G16&lt;=1000000000000),FALSE),IF(ISNUMBER(H16),AND(H16&gt;=0,H16&lt;=1000000000000),FALSE),IF(ISNUMBER(I16),AND(I16&gt;=0,I16&lt;=1000000000000),FALSE),IF(ISNUMBER(J16),AND(J16&gt;=0,J16&lt;=1000000000000),FALSE),IF(ISNUMBER(K16),AND(K16&gt;=0,K16&lt;=1000000000000),FALSE),IF(ISNUMBER(L16),AND(L16&gt;=0,L16&lt;=1000000000000)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16" t="n">
        <x:v>100</x:v>
      </x:c>
      <x:c r="E17" s="30" t="n">
        <x:v>0.6785999999999999</x:v>
      </x:c>
      <x:c r="F17" s="27" t="n">
        <x:v>65</x:v>
      </x:c>
      <x:c r="G17" s="27" t="n">
        <x:v>14</x:v>
      </x:c>
      <x:c r="H17" s="27" t="n">
        <x:v>8</x:v>
      </x:c>
      <x:c r="I17" s="27" t="n">
        <x:v>25000</x:v>
      </x:c>
      <x:c r="J17" s="27" t="n">
        <x:v>6000</x:v>
      </x:c>
      <x:c r="K17" s="27" t="n">
        <x:v>18000</x:v>
      </x:c>
      <x:c r="L17" s="27" t="n">
        <x:v>2500</x:v>
      </x:c>
      <x:c r="M17" s="2"/>
      <x:c r="N17" s="13" t="str">
        <x:f>IF(AND(IF(ISNUMBER(D17),AND(D17&gt;=0,D17&lt;=1000000000000),FALSE),IF(ISNUMBER(E17),AND(E17&gt;=0,E17&lt;=1),FALSE),IF(ISNUMBER(F17),AND(F17&gt;=0,F17&lt;=1000000000000),FALSE),IF(ISNUMBER(G17),AND(G17&gt;=0,G17&lt;=1000000000000),FALSE),IF(ISNUMBER(H17),AND(H17&gt;=0,H17&lt;=1000000000000),FALSE),IF(ISNUMBER(I17),AND(I17&gt;=0,I17&lt;=1000000000000),FALSE),IF(ISNUMBER(J17),AND(J17&gt;=0,J17&lt;=1000000000000),FALSE),IF(ISNUMBER(K17),AND(K17&gt;=0,K17&lt;=1000000000000),FALSE),IF(ISNUMBER(L17),AND(L17&gt;=0,L17&lt;=1000000000000)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16" t="n">
        <x:v>100</x:v>
      </x:c>
      <x:c r="E18" s="30" t="n">
        <x:v>0.6264</x:v>
      </x:c>
      <x:c r="F18" s="27" t="n">
        <x:v>65</x:v>
      </x:c>
      <x:c r="G18" s="27" t="n">
        <x:v>14</x:v>
      </x:c>
      <x:c r="H18" s="27" t="n">
        <x:v>8</x:v>
      </x:c>
      <x:c r="I18" s="27" t="n">
        <x:v>25000</x:v>
      </x:c>
      <x:c r="J18" s="27" t="n">
        <x:v>6000</x:v>
      </x:c>
      <x:c r="K18" s="27" t="n">
        <x:v>18000</x:v>
      </x:c>
      <x:c r="L18" s="27" t="n">
        <x:v>2500</x:v>
      </x:c>
      <x:c r="M18" s="2"/>
      <x:c r="N18" s="13" t="str">
        <x:f>IF(AND(IF(ISNUMBER(D18),AND(D18&gt;=0,D18&lt;=1000000000000),FALSE),IF(ISNUMBER(E18),AND(E18&gt;=0,E18&lt;=1),FALSE),IF(ISNUMBER(F18),AND(F18&gt;=0,F18&lt;=1000000000000),FALSE),IF(ISNUMBER(G18),AND(G18&gt;=0,G18&lt;=1000000000000),FALSE),IF(ISNUMBER(H18),AND(H18&gt;=0,H18&lt;=1000000000000),FALSE),IF(ISNUMBER(I18),AND(I18&gt;=0,I18&lt;=1000000000000),FALSE),IF(ISNUMBER(J18),AND(J18&gt;=0,J18&lt;=1000000000000),FALSE),IF(ISNUMBER(K18),AND(K18&gt;=0,K18&lt;=1000000000000),FALSE),IF(ISNUMBER(L18),AND(L18&gt;=0,L18&lt;=1000000000000)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16" t="n">
        <x:v>100</x:v>
      </x:c>
      <x:c r="E19" s="30" t="n">
        <x:v>0.58</x:v>
      </x:c>
      <x:c r="F19" s="27" t="n">
        <x:v>65</x:v>
      </x:c>
      <x:c r="G19" s="27" t="n">
        <x:v>14</x:v>
      </x:c>
      <x:c r="H19" s="27" t="n">
        <x:v>8</x:v>
      </x:c>
      <x:c r="I19" s="27" t="n">
        <x:v>25000</x:v>
      </x:c>
      <x:c r="J19" s="27" t="n">
        <x:v>6000</x:v>
      </x:c>
      <x:c r="K19" s="27" t="n">
        <x:v>18000</x:v>
      </x:c>
      <x:c r="L19" s="27" t="n">
        <x:v>2500</x:v>
      </x:c>
      <x:c r="M19" s="2"/>
      <x:c r="N19" s="13" t="str">
        <x:f>IF(AND(IF(ISNUMBER(D19),AND(D19&gt;=0,D19&lt;=1000000000000),FALSE),IF(ISNUMBER(E19),AND(E19&gt;=0,E19&lt;=1),FALSE),IF(ISNUMBER(F19),AND(F19&gt;=0,F19&lt;=1000000000000),FALSE),IF(ISNUMBER(G19),AND(G19&gt;=0,G19&lt;=1000000000000),FALSE),IF(ISNUMBER(H19),AND(H19&gt;=0,H19&lt;=1000000000000),FALSE),IF(ISNUMBER(I19),AND(I19&gt;=0,I19&lt;=1000000000000),FALSE),IF(ISNUMBER(J19),AND(J19&gt;=0,J19&lt;=1000000000000),FALSE),IF(ISNUMBER(K19),AND(K19&gt;=0,K19&lt;=1000000000000),FALSE),IF(ISNUMBER(L19),AND(L19&gt;=0,L19&lt;=1000000000000)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16" t="n">
        <x:v>100</x:v>
      </x:c>
      <x:c r="E20" s="30" t="n">
        <x:v>0.48139999999999994</x:v>
      </x:c>
      <x:c r="F20" s="27" t="n">
        <x:v>65</x:v>
      </x:c>
      <x:c r="G20" s="27" t="n">
        <x:v>14</x:v>
      </x:c>
      <x:c r="H20" s="27" t="n">
        <x:v>8</x:v>
      </x:c>
      <x:c r="I20" s="27" t="n">
        <x:v>25000</x:v>
      </x:c>
      <x:c r="J20" s="27" t="n">
        <x:v>6000</x:v>
      </x:c>
      <x:c r="K20" s="27" t="n">
        <x:v>18000</x:v>
      </x:c>
      <x:c r="L20" s="27" t="n">
        <x:v>2500</x:v>
      </x:c>
      <x:c r="M20" s="2"/>
      <x:c r="N20" s="13" t="str">
        <x:f>IF(AND(IF(ISNUMBER(D20),AND(D20&gt;=0,D20&lt;=1000000000000),FALSE),IF(ISNUMBER(E20),AND(E20&gt;=0,E20&lt;=1),FALSE),IF(ISNUMBER(F20),AND(F20&gt;=0,F20&lt;=1000000000000),FALSE),IF(ISNUMBER(G20),AND(G20&gt;=0,G20&lt;=1000000000000),FALSE),IF(ISNUMBER(H20),AND(H20&gt;=0,H20&lt;=1000000000000),FALSE),IF(ISNUMBER(I20),AND(I20&gt;=0,I20&lt;=1000000000000),FALSE),IF(ISNUMBER(J20),AND(J20&gt;=0,J20&lt;=1000000000000),FALSE),IF(ISNUMBER(K20),AND(K20&gt;=0,K20&lt;=1000000000000),FALSE),IF(ISNUMBER(L20),AND(L20&gt;=0,L20&lt;=1000000000000)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16" t="n">
        <x:v>100</x:v>
      </x:c>
      <x:c r="E21" s="30" t="n">
        <x:v>0.45239999999999997</x:v>
      </x:c>
      <x:c r="F21" s="27" t="n">
        <x:v>65</x:v>
      </x:c>
      <x:c r="G21" s="27" t="n">
        <x:v>14</x:v>
      </x:c>
      <x:c r="H21" s="27" t="n">
        <x:v>8</x:v>
      </x:c>
      <x:c r="I21" s="27" t="n">
        <x:v>25000</x:v>
      </x:c>
      <x:c r="J21" s="27" t="n">
        <x:v>6000</x:v>
      </x:c>
      <x:c r="K21" s="27" t="n">
        <x:v>18000</x:v>
      </x:c>
      <x:c r="L21" s="27" t="n">
        <x:v>2500</x:v>
      </x:c>
      <x:c r="M21" s="2"/>
      <x:c r="N21" s="13" t="str">
        <x:f>IF(AND(IF(ISNUMBER(D21),AND(D21&gt;=0,D21&lt;=1000000000000),FALSE),IF(ISNUMBER(E21),AND(E21&gt;=0,E21&lt;=1),FALSE),IF(ISNUMBER(F21),AND(F21&gt;=0,F21&lt;=1000000000000),FALSE),IF(ISNUMBER(G21),AND(G21&gt;=0,G21&lt;=1000000000000),FALSE),IF(ISNUMBER(H21),AND(H21&gt;=0,H21&lt;=1000000000000),FALSE),IF(ISNUMBER(I21),AND(I21&gt;=0,I21&lt;=1000000000000),FALSE),IF(ISNUMBER(J21),AND(J21&gt;=0,J21&lt;=1000000000000),FALSE),IF(ISNUMBER(K21),AND(K21&gt;=0,K21&lt;=1000000000000),FALSE),IF(ISNUMBER(L21),AND(L21&gt;=0,L21&lt;=1000000000000)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108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</x:formula2>
    </x:dataValidation>
    <x:dataValidation type="decimal" operator="between" sqref="F10">
      <x:formula1>0</x:formula1>
      <x:formula2>1000000000000</x:formula2>
    </x:dataValidation>
    <x:dataValidation type="decimal" operator="between" sqref="G10">
      <x:formula1>0</x:formula1>
      <x:formula2>1000000000000</x:formula2>
    </x:dataValidation>
    <x:dataValidation type="decimal" operator="between" sqref="H10">
      <x:formula1>0</x:formula1>
      <x:formula2>1000000000000</x:formula2>
    </x:dataValidation>
    <x:dataValidation type="decimal" operator="between" sqref="I10">
      <x:formula1>0</x:formula1>
      <x:formula2>1000000000000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1000000000000</x:formula2>
    </x:dataValidation>
    <x:dataValidation type="decimal" operator="between" sqref="L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</x:formula2>
    </x:dataValidation>
    <x:dataValidation type="decimal" operator="between" sqref="F11">
      <x:formula1>0</x:formula1>
      <x:formula2>1000000000000</x:formula2>
    </x:dataValidation>
    <x:dataValidation type="decimal" operator="between" sqref="G11">
      <x:formula1>0</x:formula1>
      <x:formula2>1000000000000</x:formula2>
    </x:dataValidation>
    <x:dataValidation type="decimal" operator="between" sqref="H11">
      <x:formula1>0</x:formula1>
      <x:formula2>1000000000000</x:formula2>
    </x:dataValidation>
    <x:dataValidation type="decimal" operator="between" sqref="I11">
      <x:formula1>0</x:formula1>
      <x:formula2>1000000000000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1000000000000</x:formula2>
    </x:dataValidation>
    <x:dataValidation type="decimal" operator="between" sqref="L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</x:formula2>
    </x:dataValidation>
    <x:dataValidation type="decimal" operator="between" sqref="F12">
      <x:formula1>0</x:formula1>
      <x:formula2>1000000000000</x:formula2>
    </x:dataValidation>
    <x:dataValidation type="decimal" operator="between" sqref="G12">
      <x:formula1>0</x:formula1>
      <x:formula2>1000000000000</x:formula2>
    </x:dataValidation>
    <x:dataValidation type="decimal" operator="between" sqref="H12">
      <x:formula1>0</x:formula1>
      <x:formula2>1000000000000</x:formula2>
    </x:dataValidation>
    <x:dataValidation type="decimal" operator="between" sqref="I12">
      <x:formula1>0</x:formula1>
      <x:formula2>1000000000000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1000000000000</x:formula2>
    </x:dataValidation>
    <x:dataValidation type="decimal" operator="between" sqref="L12">
      <x:formula1>0</x:formula1>
      <x:formula2>1000000000000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</x:formula2>
    </x:dataValidation>
    <x:dataValidation type="decimal" operator="between" sqref="F13">
      <x:formula1>0</x:formula1>
      <x:formula2>1000000000000</x:formula2>
    </x:dataValidation>
    <x:dataValidation type="decimal" operator="between" sqref="G13">
      <x:formula1>0</x:formula1>
      <x:formula2>1000000000000</x:formula2>
    </x:dataValidation>
    <x:dataValidation type="decimal" operator="between" sqref="H13">
      <x:formula1>0</x:formula1>
      <x:formula2>1000000000000</x:formula2>
    </x:dataValidation>
    <x:dataValidation type="decimal" operator="between" sqref="I13">
      <x:formula1>0</x:formula1>
      <x:formula2>1000000000000</x:formula2>
    </x:dataValidation>
    <x:dataValidation type="decimal" operator="between" sqref="J13">
      <x:formula1>0</x:formula1>
      <x:formula2>1000000000000</x:formula2>
    </x:dataValidation>
    <x:dataValidation type="decimal" operator="between" sqref="K13">
      <x:formula1>0</x:formula1>
      <x:formula2>1000000000000</x:formula2>
    </x:dataValidation>
    <x:dataValidation type="decimal" operator="between" sqref="L13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</x:formula2>
    </x:dataValidation>
    <x:dataValidation type="decimal" operator="between" sqref="F14">
      <x:formula1>0</x:formula1>
      <x:formula2>1000000000000</x:formula2>
    </x:dataValidation>
    <x:dataValidation type="decimal" operator="between" sqref="G14">
      <x:formula1>0</x:formula1>
      <x:formula2>1000000000000</x:formula2>
    </x:dataValidation>
    <x:dataValidation type="decimal" operator="between" sqref="H14">
      <x:formula1>0</x:formula1>
      <x:formula2>1000000000000</x:formula2>
    </x:dataValidation>
    <x:dataValidation type="decimal" operator="between" sqref="I14">
      <x:formula1>0</x:formula1>
      <x:formula2>1000000000000</x:formula2>
    </x:dataValidation>
    <x:dataValidation type="decimal" operator="between" sqref="J14">
      <x:formula1>0</x:formula1>
      <x:formula2>1000000000000</x:formula2>
    </x:dataValidation>
    <x:dataValidation type="decimal" operator="between" sqref="K14">
      <x:formula1>0</x:formula1>
      <x:formula2>1000000000000</x:formula2>
    </x:dataValidation>
    <x:dataValidation type="decimal" operator="between" sqref="L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</x:formula2>
    </x:dataValidation>
    <x:dataValidation type="decimal" operator="between" sqref="F15">
      <x:formula1>0</x:formula1>
      <x:formula2>1000000000000</x:formula2>
    </x:dataValidation>
    <x:dataValidation type="decimal" operator="between" sqref="G15">
      <x:formula1>0</x:formula1>
      <x:formula2>1000000000000</x:formula2>
    </x:dataValidation>
    <x:dataValidation type="decimal" operator="between" sqref="H15">
      <x:formula1>0</x:formula1>
      <x:formula2>1000000000000</x:formula2>
    </x:dataValidation>
    <x:dataValidation type="decimal" operator="between" sqref="I15">
      <x:formula1>0</x:formula1>
      <x:formula2>1000000000000</x:formula2>
    </x:dataValidation>
    <x:dataValidation type="decimal" operator="between" sqref="J15">
      <x:formula1>0</x:formula1>
      <x:formula2>1000000000000</x:formula2>
    </x:dataValidation>
    <x:dataValidation type="decimal" operator="between" sqref="K15">
      <x:formula1>0</x:formula1>
      <x:formula2>1000000000000</x:formula2>
    </x:dataValidation>
    <x:dataValidation type="decimal" operator="between" sqref="L15">
      <x:formula1>0</x:formula1>
      <x:formula2>1000000000000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</x:formula2>
    </x:dataValidation>
    <x:dataValidation type="decimal" operator="between" sqref="F16">
      <x:formula1>0</x:formula1>
      <x:formula2>1000000000000</x:formula2>
    </x:dataValidation>
    <x:dataValidation type="decimal" operator="between" sqref="G16">
      <x:formula1>0</x:formula1>
      <x:formula2>1000000000000</x:formula2>
    </x:dataValidation>
    <x:dataValidation type="decimal" operator="between" sqref="H16">
      <x:formula1>0</x:formula1>
      <x:formula2>1000000000000</x:formula2>
    </x:dataValidation>
    <x:dataValidation type="decimal" operator="between" sqref="I16">
      <x:formula1>0</x:formula1>
      <x:formula2>1000000000000</x:formula2>
    </x:dataValidation>
    <x:dataValidation type="decimal" operator="between" sqref="J16">
      <x:formula1>0</x:formula1>
      <x:formula2>1000000000000</x:formula2>
    </x:dataValidation>
    <x:dataValidation type="decimal" operator="between" sqref="K16">
      <x:formula1>0</x:formula1>
      <x:formula2>1000000000000</x:formula2>
    </x:dataValidation>
    <x:dataValidation type="decimal" operator="between" sqref="L16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</x:formula2>
    </x:dataValidation>
    <x:dataValidation type="decimal" operator="between" sqref="F17">
      <x:formula1>0</x:formula1>
      <x:formula2>1000000000000</x:formula2>
    </x:dataValidation>
    <x:dataValidation type="decimal" operator="between" sqref="G17">
      <x:formula1>0</x:formula1>
      <x:formula2>1000000000000</x:formula2>
    </x:dataValidation>
    <x:dataValidation type="decimal" operator="between" sqref="H17">
      <x:formula1>0</x:formula1>
      <x:formula2>1000000000000</x:formula2>
    </x:dataValidation>
    <x:dataValidation type="decimal" operator="between" sqref="I17">
      <x:formula1>0</x:formula1>
      <x:formula2>1000000000000</x:formula2>
    </x:dataValidation>
    <x:dataValidation type="decimal" operator="between" sqref="J17">
      <x:formula1>0</x:formula1>
      <x:formula2>1000000000000</x:formula2>
    </x:dataValidation>
    <x:dataValidation type="decimal" operator="between" sqref="K17">
      <x:formula1>0</x:formula1>
      <x:formula2>1000000000000</x:formula2>
    </x:dataValidation>
    <x:dataValidation type="decimal" operator="between" sqref="L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</x:formula2>
    </x:dataValidation>
    <x:dataValidation type="decimal" operator="between" sqref="F18">
      <x:formula1>0</x:formula1>
      <x:formula2>1000000000000</x:formula2>
    </x:dataValidation>
    <x:dataValidation type="decimal" operator="between" sqref="G18">
      <x:formula1>0</x:formula1>
      <x:formula2>1000000000000</x:formula2>
    </x:dataValidation>
    <x:dataValidation type="decimal" operator="between" sqref="H18">
      <x:formula1>0</x:formula1>
      <x:formula2>1000000000000</x:formula2>
    </x:dataValidation>
    <x:dataValidation type="decimal" operator="between" sqref="I18">
      <x:formula1>0</x:formula1>
      <x:formula2>1000000000000</x:formula2>
    </x:dataValidation>
    <x:dataValidation type="decimal" operator="between" sqref="J18">
      <x:formula1>0</x:formula1>
      <x:formula2>1000000000000</x:formula2>
    </x:dataValidation>
    <x:dataValidation type="decimal" operator="between" sqref="K18">
      <x:formula1>0</x:formula1>
      <x:formula2>1000000000000</x:formula2>
    </x:dataValidation>
    <x:dataValidation type="decimal" operator="between" sqref="L18">
      <x:formula1>0</x:formula1>
      <x:formula2>1000000000000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</x:formula2>
    </x:dataValidation>
    <x:dataValidation type="decimal" operator="between" sqref="F19">
      <x:formula1>0</x:formula1>
      <x:formula2>1000000000000</x:formula2>
    </x:dataValidation>
    <x:dataValidation type="decimal" operator="between" sqref="G19">
      <x:formula1>0</x:formula1>
      <x:formula2>1000000000000</x:formula2>
    </x:dataValidation>
    <x:dataValidation type="decimal" operator="between" sqref="H19">
      <x:formula1>0</x:formula1>
      <x:formula2>1000000000000</x:formula2>
    </x:dataValidation>
    <x:dataValidation type="decimal" operator="between" sqref="I19">
      <x:formula1>0</x:formula1>
      <x:formula2>1000000000000</x:formula2>
    </x:dataValidation>
    <x:dataValidation type="decimal" operator="between" sqref="J19">
      <x:formula1>0</x:formula1>
      <x:formula2>1000000000000</x:formula2>
    </x:dataValidation>
    <x:dataValidation type="decimal" operator="between" sqref="K19">
      <x:formula1>0</x:formula1>
      <x:formula2>1000000000000</x:formula2>
    </x:dataValidation>
    <x:dataValidation type="decimal" operator="between" sqref="L19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</x:formula2>
    </x:dataValidation>
    <x:dataValidation type="decimal" operator="between" sqref="F20">
      <x:formula1>0</x:formula1>
      <x:formula2>1000000000000</x:formula2>
    </x:dataValidation>
    <x:dataValidation type="decimal" operator="between" sqref="G20">
      <x:formula1>0</x:formula1>
      <x:formula2>1000000000000</x:formula2>
    </x:dataValidation>
    <x:dataValidation type="decimal" operator="between" sqref="H20">
      <x:formula1>0</x:formula1>
      <x:formula2>1000000000000</x:formula2>
    </x:dataValidation>
    <x:dataValidation type="decimal" operator="between" sqref="I20">
      <x:formula1>0</x:formula1>
      <x:formula2>1000000000000</x:formula2>
    </x:dataValidation>
    <x:dataValidation type="decimal" operator="between" sqref="J20">
      <x:formula1>0</x:formula1>
      <x:formula2>1000000000000</x:formula2>
    </x:dataValidation>
    <x:dataValidation type="decimal" operator="between" sqref="K20">
      <x:formula1>0</x:formula1>
      <x:formula2>1000000000000</x:formula2>
    </x:dataValidation>
    <x:dataValidation type="decimal" operator="between" sqref="L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</x:formula2>
    </x:dataValidation>
    <x:dataValidation type="decimal" operator="between" sqref="F21">
      <x:formula1>0</x:formula1>
      <x:formula2>1000000000000</x:formula2>
    </x:dataValidation>
    <x:dataValidation type="decimal" operator="between" sqref="G21">
      <x:formula1>0</x:formula1>
      <x:formula2>1000000000000</x:formula2>
    </x:dataValidation>
    <x:dataValidation type="decimal" operator="between" sqref="H21">
      <x:formula1>0</x:formula1>
      <x:formula2>1000000000000</x:formula2>
    </x:dataValidation>
    <x:dataValidation type="decimal" operator="between" sqref="I21">
      <x:formula1>0</x:formula1>
      <x:formula2>1000000000000</x:formula2>
    </x:dataValidation>
    <x:dataValidation type="decimal" operator="between" sqref="J21">
      <x:formula1>0</x:formula1>
      <x:formula2>1000000000000</x:formula2>
    </x:dataValidation>
    <x:dataValidation type="decimal" operator="between" sqref="K21">
      <x:formula1>0</x:formula1>
      <x:formula2>1000000000000</x:formula2>
    </x:dataValidation>
    <x:dataValidation type="decimal" operator="between" sqref="L21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6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Site-nights available</x:v>
      </x:c>
      <x:c r="D10" s="2" t="str">
        <x:v>nights</x:v>
      </x:c>
      <x:c r="E10" s="49" t="n">
        <x:f>IF(COUNT(G10:R10)=12,SUM(G10:R10),"n.a.")</x:f>
        <x:v>36500</x:v>
      </x:c>
      <x:c r="F10" s="2"/>
      <x:c r="G10" s="48" t="n">
        <x:f>IF(AND('Site Nights'!N10="OK"),IF(AND(ISNUMBER('Site Nights'!$D$10),ISNUMBER(G$9)),'Site Nights'!$D$10*DAY(EOMONTH(G$9,0)),"n.a."),"n.a.")</x:f>
        <x:v>3100</x:v>
      </x:c>
      <x:c r="H10" s="48" t="n">
        <x:f>IF(AND('Site Nights'!N11="OK"),IF(AND(ISNUMBER('Site Nights'!$D$11),ISNUMBER(H$9)),'Site Nights'!$D$11*DAY(EOMONTH(H$9,0)),"n.a."),"n.a.")</x:f>
        <x:v>2800</x:v>
      </x:c>
      <x:c r="I10" s="48" t="n">
        <x:f>IF(AND('Site Nights'!N12="OK"),IF(AND(ISNUMBER('Site Nights'!$D$12),ISNUMBER(I$9)),'Site Nights'!$D$12*DAY(EOMONTH(I$9,0)),"n.a."),"n.a.")</x:f>
        <x:v>3100</x:v>
      </x:c>
      <x:c r="J10" s="48" t="n">
        <x:f>IF(AND('Site Nights'!N13="OK"),IF(AND(ISNUMBER('Site Nights'!$D$13),ISNUMBER(J$9)),'Site Nights'!$D$13*DAY(EOMONTH(J$9,0)),"n.a."),"n.a.")</x:f>
        <x:v>3000</x:v>
      </x:c>
      <x:c r="K10" s="48" t="n">
        <x:f>IF(AND('Site Nights'!N14="OK"),IF(AND(ISNUMBER('Site Nights'!$D$14),ISNUMBER(K$9)),'Site Nights'!$D$14*DAY(EOMONTH(K$9,0)),"n.a."),"n.a.")</x:f>
        <x:v>3100</x:v>
      </x:c>
      <x:c r="L10" s="48" t="n">
        <x:f>IF(AND('Site Nights'!N15="OK"),IF(AND(ISNUMBER('Site Nights'!$D$15),ISNUMBER(L$9)),'Site Nights'!$D$15*DAY(EOMONTH(L$9,0)),"n.a."),"n.a.")</x:f>
        <x:v>3000</x:v>
      </x:c>
      <x:c r="M10" s="48" t="n">
        <x:f>IF(AND('Site Nights'!N16="OK"),IF(AND(ISNUMBER('Site Nights'!$D$16),ISNUMBER(M$9)),'Site Nights'!$D$16*DAY(EOMONTH(M$9,0)),"n.a."),"n.a.")</x:f>
        <x:v>3100</x:v>
      </x:c>
      <x:c r="N10" s="48" t="n">
        <x:f>IF(AND('Site Nights'!N17="OK"),IF(AND(ISNUMBER('Site Nights'!$D$17),ISNUMBER(N$9)),'Site Nights'!$D$17*DAY(EOMONTH(N$9,0)),"n.a."),"n.a.")</x:f>
        <x:v>3100</x:v>
      </x:c>
      <x:c r="O10" s="48" t="n">
        <x:f>IF(AND('Site Nights'!N18="OK"),IF(AND(ISNUMBER('Site Nights'!$D$18),ISNUMBER(O$9)),'Site Nights'!$D$18*DAY(EOMONTH(O$9,0)),"n.a."),"n.a.")</x:f>
        <x:v>3000</x:v>
      </x:c>
      <x:c r="P10" s="48" t="n">
        <x:f>IF(AND('Site Nights'!N19="OK"),IF(AND(ISNUMBER('Site Nights'!$D$19),ISNUMBER(P$9)),'Site Nights'!$D$19*DAY(EOMONTH(P$9,0)),"n.a."),"n.a.")</x:f>
        <x:v>3100</x:v>
      </x:c>
      <x:c r="Q10" s="48" t="n">
        <x:f>IF(AND('Site Nights'!N20="OK"),IF(AND(ISNUMBER('Site Nights'!$D$20),ISNUMBER(Q$9)),'Site Nights'!$D$20*DAY(EOMONTH(Q$9,0)),"n.a."),"n.a.")</x:f>
        <x:v>3000</x:v>
      </x:c>
      <x:c r="R10" s="48" t="n">
        <x:f>IF(AND('Site Nights'!N21="OK"),IF(AND(ISNUMBER('Site Nights'!$D$21),ISNUMBER(R$9)),'Site Nights'!$D$21*DAY(EOMONTH(R$9,0)),"n.a."),"n.a.")</x:f>
        <x:v>3100</x:v>
      </x:c>
    </x:row>
    <x:row r="11" ht="21" customHeight="1">
      <x:c r="A11" s="2"/>
      <x:c r="B11" s="2"/>
      <x:c r="C11" s="2" t="str">
        <x:v>Site-nights occupied</x:v>
      </x:c>
      <x:c r="D11" s="2" t="str">
        <x:v>nights</x:v>
      </x:c>
      <x:c r="E11" s="49" t="n">
        <x:f>IF(COUNT(G11:R11)=12,SUM(G11:R11),"n.a.")</x:f>
        <x:v>20315.66</x:v>
      </x:c>
      <x:c r="F11" s="2"/>
      <x:c r="G11" s="48" t="n">
        <x:f>IF(AND('Site Nights'!N10="OK"),IF(AND(ISNUMBER(G10),ISNUMBER('Site Nights'!$E$10),ISNUMBER('Assumptions'!$D$61)),G10*MIN(1,'Site Nights'!$E$10*'Assumptions'!$D$61),"n.a."),"n.a.")</x:f>
        <x:v>1294.56</x:v>
      </x:c>
      <x:c r="H11" s="48" t="n">
        <x:f>IF(AND('Site Nights'!N11="OK"),IF(AND(ISNUMBER(H10),ISNUMBER('Site Nights'!$E$11),ISNUMBER('Assumptions'!$D$61)),H10*MIN(1,'Site Nights'!$E$11*'Assumptions'!$D$61),"n.a."),"n.a.")</x:f>
        <x:v>1201.76</x:v>
      </x:c>
      <x:c r="I11" s="48" t="n">
        <x:f>IF(AND('Site Nights'!N12="OK"),IF(AND(ISNUMBER(I10),ISNUMBER('Site Nights'!$E$12),ISNUMBER('Assumptions'!$D$61)),I10*MIN(1,'Site Nights'!$E$12*'Assumptions'!$D$61),"n.a."),"n.a.")</x:f>
        <x:v>1510.32</x:v>
      </x:c>
      <x:c r="J11" s="48" t="n">
        <x:f>IF(AND('Site Nights'!N13="OK"),IF(AND(ISNUMBER(J10),ISNUMBER('Site Nights'!$E$13),ISNUMBER('Assumptions'!$D$61)),J10*MIN(1,'Site Nights'!$E$13*'Assumptions'!$D$61),"n.a."),"n.a.")</x:f>
        <x:v>1652.9999999999998</x:v>
      </x:c>
      <x:c r="K11" s="48" t="n">
        <x:f>IF(AND('Site Nights'!N14="OK"),IF(AND(ISNUMBER(K10),ISNUMBER('Site Nights'!$E$14),ISNUMBER('Assumptions'!$D$61)),K10*MIN(1,'Site Nights'!$E$14*'Assumptions'!$D$61),"n.a."),"n.a.")</x:f>
        <x:v>1869.9199999999998</x:v>
      </x:c>
      <x:c r="L11" s="48" t="n">
        <x:f>IF(AND('Site Nights'!N15="OK"),IF(AND(ISNUMBER(L10),ISNUMBER('Site Nights'!$E$15),ISNUMBER('Assumptions'!$D$61)),L10*MIN(1,'Site Nights'!$E$15*'Assumptions'!$D$61),"n.a."),"n.a.")</x:f>
        <x:v>2000.9999999999998</x:v>
      </x:c>
      <x:c r="M11" s="48" t="n">
        <x:f>IF(AND('Site Nights'!N16="OK"),IF(AND(ISNUMBER(M10),ISNUMBER('Site Nights'!$E$16),ISNUMBER('Assumptions'!$D$61)),M10*MIN(1,'Site Nights'!$E$16*'Assumptions'!$D$61),"n.a."),"n.a.")</x:f>
        <x:v>2157.6</x:v>
      </x:c>
      <x:c r="N11" s="48" t="n">
        <x:f>IF(AND('Site Nights'!N17="OK"),IF(AND(ISNUMBER(N10),ISNUMBER('Site Nights'!$E$17),ISNUMBER('Assumptions'!$D$61)),N10*MIN(1,'Site Nights'!$E$17*'Assumptions'!$D$61),"n.a."),"n.a.")</x:f>
        <x:v>2103.6599999999994</x:v>
      </x:c>
      <x:c r="O11" s="48" t="n">
        <x:f>IF(AND('Site Nights'!N18="OK"),IF(AND(ISNUMBER(O10),ISNUMBER('Site Nights'!$E$18),ISNUMBER('Assumptions'!$D$61)),O10*MIN(1,'Site Nights'!$E$18*'Assumptions'!$D$61),"n.a."),"n.a.")</x:f>
        <x:v>1879.1999999999998</x:v>
      </x:c>
      <x:c r="P11" s="48" t="n">
        <x:f>IF(AND('Site Nights'!N19="OK"),IF(AND(ISNUMBER(P10),ISNUMBER('Site Nights'!$E$19),ISNUMBER('Assumptions'!$D$61)),P10*MIN(1,'Site Nights'!$E$19*'Assumptions'!$D$61),"n.a."),"n.a.")</x:f>
        <x:v>1797.9999999999998</x:v>
      </x:c>
      <x:c r="Q11" s="48" t="n">
        <x:f>IF(AND('Site Nights'!N20="OK"),IF(AND(ISNUMBER(Q10),ISNUMBER('Site Nights'!$E$20),ISNUMBER('Assumptions'!$D$61)),Q10*MIN(1,'Site Nights'!$E$20*'Assumptions'!$D$61),"n.a."),"n.a.")</x:f>
        <x:v>1444.1999999999998</x:v>
      </x:c>
      <x:c r="R11" s="48" t="n">
        <x:f>IF(AND('Site Nights'!N21="OK"),IF(AND(ISNUMBER(R10),ISNUMBER('Site Nights'!$E$21),ISNUMBER('Assumptions'!$D$61)),R10*MIN(1,'Site Nights'!$E$21*'Assumptions'!$D$61),"n.a."),"n.a.")</x:f>
        <x:v>1402.4399999999998</x:v>
      </x:c>
    </x:row>
    <x:row r="12" ht="21" customHeight="1">
      <x:c r="A12" s="2"/>
      <x:c r="B12" s="2"/>
      <x:c r="C12" s="2" t="str">
        <x:v>Core lodging / care revenue</x:v>
      </x:c>
      <x:c r="D12" s="2" t="str">
        <x:v>USD</x:v>
      </x:c>
      <x:c r="E12" s="52" t="n">
        <x:f>IF(COUNT(G12:R12)=12,SUM(G12:R12),"n.a.")</x:f>
        <x:v>1320517.9</x:v>
      </x:c>
      <x:c r="F12" s="2"/>
      <x:c r="G12" s="51" t="n">
        <x:f>IF(AND('Site Nights'!N10="OK"),IF(AND(ISNUMBER(G11),ISNUMBER('Site Nights'!$F$10),ISNUMBER('Assumptions'!$D$64)),G11*'Site Nights'!$F$10*'Assumptions'!$D$64,"n.a."),"n.a.")</x:f>
        <x:v>84146.4</x:v>
      </x:c>
      <x:c r="H12" s="51" t="n">
        <x:f>IF(AND('Site Nights'!N11="OK"),IF(AND(ISNUMBER(H11),ISNUMBER('Site Nights'!$F$11),ISNUMBER('Assumptions'!$D$64)),H11*'Site Nights'!$F$11*'Assumptions'!$D$64,"n.a."),"n.a.")</x:f>
        <x:v>78114.4</x:v>
      </x:c>
      <x:c r="I12" s="51" t="n">
        <x:f>IF(AND('Site Nights'!N12="OK"),IF(AND(ISNUMBER(I11),ISNUMBER('Site Nights'!$F$12),ISNUMBER('Assumptions'!$D$64)),I11*'Site Nights'!$F$12*'Assumptions'!$D$64,"n.a."),"n.a.")</x:f>
        <x:v>98170.8</x:v>
      </x:c>
      <x:c r="J12" s="51" t="n">
        <x:f>IF(AND('Site Nights'!N13="OK"),IF(AND(ISNUMBER(J11),ISNUMBER('Site Nights'!$F$13),ISNUMBER('Assumptions'!$D$64)),J11*'Site Nights'!$F$13*'Assumptions'!$D$64,"n.a."),"n.a.")</x:f>
        <x:v>107444.99999999999</x:v>
      </x:c>
      <x:c r="K12" s="51" t="n">
        <x:f>IF(AND('Site Nights'!N14="OK"),IF(AND(ISNUMBER(K11),ISNUMBER('Site Nights'!$F$14),ISNUMBER('Assumptions'!$D$64)),K11*'Site Nights'!$F$14*'Assumptions'!$D$64,"n.a."),"n.a.")</x:f>
        <x:v>121544.79999999999</x:v>
      </x:c>
      <x:c r="L12" s="51" t="n">
        <x:f>IF(AND('Site Nights'!N15="OK"),IF(AND(ISNUMBER(L11),ISNUMBER('Site Nights'!$F$15),ISNUMBER('Assumptions'!$D$64)),L11*'Site Nights'!$F$15*'Assumptions'!$D$64,"n.a."),"n.a.")</x:f>
        <x:v>130064.99999999999</x:v>
      </x:c>
      <x:c r="M12" s="51" t="n">
        <x:f>IF(AND('Site Nights'!N16="OK"),IF(AND(ISNUMBER(M11),ISNUMBER('Site Nights'!$F$16),ISNUMBER('Assumptions'!$D$64)),M11*'Site Nights'!$F$16*'Assumptions'!$D$64,"n.a."),"n.a.")</x:f>
        <x:v>140244</x:v>
      </x:c>
      <x:c r="N12" s="51" t="n">
        <x:f>IF(AND('Site Nights'!N17="OK"),IF(AND(ISNUMBER(N11),ISNUMBER('Site Nights'!$F$17),ISNUMBER('Assumptions'!$D$64)),N11*'Site Nights'!$F$17*'Assumptions'!$D$64,"n.a."),"n.a.")</x:f>
        <x:v>136737.89999999997</x:v>
      </x:c>
      <x:c r="O12" s="51" t="n">
        <x:f>IF(AND('Site Nights'!N18="OK"),IF(AND(ISNUMBER(O11),ISNUMBER('Site Nights'!$F$18),ISNUMBER('Assumptions'!$D$64)),O11*'Site Nights'!$F$18*'Assumptions'!$D$64,"n.a."),"n.a.")</x:f>
        <x:v>122147.99999999999</x:v>
      </x:c>
      <x:c r="P12" s="51" t="n">
        <x:f>IF(AND('Site Nights'!N19="OK"),IF(AND(ISNUMBER(P11),ISNUMBER('Site Nights'!$F$19),ISNUMBER('Assumptions'!$D$64)),P11*'Site Nights'!$F$19*'Assumptions'!$D$64,"n.a."),"n.a.")</x:f>
        <x:v>116869.99999999999</x:v>
      </x:c>
      <x:c r="Q12" s="51" t="n">
        <x:f>IF(AND('Site Nights'!N20="OK"),IF(AND(ISNUMBER(Q11),ISNUMBER('Site Nights'!$F$20),ISNUMBER('Assumptions'!$D$64)),Q11*'Site Nights'!$F$20*'Assumptions'!$D$64,"n.a."),"n.a.")</x:f>
        <x:v>93872.99999999999</x:v>
      </x:c>
      <x:c r="R12" s="51" t="n">
        <x:f>IF(AND('Site Nights'!N21="OK"),IF(AND(ISNUMBER(R11),ISNUMBER('Site Nights'!$F$21),ISNUMBER('Assumptions'!$D$64)),R11*'Site Nights'!$F$21*'Assumptions'!$D$64,"n.a."),"n.a.")</x:f>
        <x:v>91158.59999999999</x:v>
      </x:c>
    </x:row>
    <x:row r="13" ht="21" customHeight="1">
      <x:c r="A13" s="2"/>
      <x:c r="B13" s="2"/>
      <x:c r="C13" s="2" t="str">
        <x:v>Ancillary and annual-site collections</x:v>
      </x:c>
      <x:c r="D13" s="2" t="str">
        <x:v>USD</x:v>
      </x:c>
      <x:c r="E13" s="52" t="n">
        <x:f>IF(COUNT(G13:R13)=12,SUM(G13:R13),"n.a.")</x:f>
        <x:v>584419.24</x:v>
      </x:c>
      <x:c r="F13" s="2"/>
      <x:c r="G13" s="51" t="n">
        <x:f>IF(AND('Site Nights'!N10="OK"),IF(AND(ISNUMBER(G11),ISNUMBER('Site Nights'!$G$10),ISNUMBER('Site Nights'!$I$10)),G11*'Site Nights'!$G$10+'Site Nights'!$I$10,"n.a."),"n.a.")</x:f>
        <x:v>43123.84</x:v>
      </x:c>
      <x:c r="H13" s="51" t="n">
        <x:f>IF(AND('Site Nights'!N11="OK"),IF(AND(ISNUMBER(H11),ISNUMBER('Site Nights'!$G$11),ISNUMBER('Site Nights'!$I$11)),H11*'Site Nights'!$G$11+'Site Nights'!$I$11,"n.a."),"n.a.")</x:f>
        <x:v>41824.64</x:v>
      </x:c>
      <x:c r="I13" s="51" t="n">
        <x:f>IF(AND('Site Nights'!N12="OK"),IF(AND(ISNUMBER(I11),ISNUMBER('Site Nights'!$G$12),ISNUMBER('Site Nights'!$I$12)),I11*'Site Nights'!$G$12+'Site Nights'!$I$12,"n.a."),"n.a.")</x:f>
        <x:v>46144.479999999996</x:v>
      </x:c>
      <x:c r="J13" s="51" t="n">
        <x:f>IF(AND('Site Nights'!N13="OK"),IF(AND(ISNUMBER(J11),ISNUMBER('Site Nights'!$G$13),ISNUMBER('Site Nights'!$I$13)),J11*'Site Nights'!$G$13+'Site Nights'!$I$13,"n.a."),"n.a.")</x:f>
        <x:v>48142</x:v>
      </x:c>
      <x:c r="K13" s="51" t="n">
        <x:f>IF(AND('Site Nights'!N14="OK"),IF(AND(ISNUMBER(K11),ISNUMBER('Site Nights'!$G$14),ISNUMBER('Site Nights'!$I$14)),K11*'Site Nights'!$G$14+'Site Nights'!$I$14,"n.a."),"n.a.")</x:f>
        <x:v>51178.88</x:v>
      </x:c>
      <x:c r="L13" s="51" t="n">
        <x:f>IF(AND('Site Nights'!N15="OK"),IF(AND(ISNUMBER(L11),ISNUMBER('Site Nights'!$G$15),ISNUMBER('Site Nights'!$I$15)),L11*'Site Nights'!$G$15+'Site Nights'!$I$15,"n.a."),"n.a.")</x:f>
        <x:v>53014</x:v>
      </x:c>
      <x:c r="M13" s="51" t="n">
        <x:f>IF(AND('Site Nights'!N16="OK"),IF(AND(ISNUMBER(M11),ISNUMBER('Site Nights'!$G$16),ISNUMBER('Site Nights'!$I$16)),M11*'Site Nights'!$G$16+'Site Nights'!$I$16,"n.a."),"n.a.")</x:f>
        <x:v>55206.399999999994</x:v>
      </x:c>
      <x:c r="N13" s="51" t="n">
        <x:f>IF(AND('Site Nights'!N17="OK"),IF(AND(ISNUMBER(N11),ISNUMBER('Site Nights'!$G$17),ISNUMBER('Site Nights'!$I$17)),N11*'Site Nights'!$G$17+'Site Nights'!$I$17,"n.a."),"n.a.")</x:f>
        <x:v>54451.23999999999</x:v>
      </x:c>
      <x:c r="O13" s="51" t="n">
        <x:f>IF(AND('Site Nights'!N18="OK"),IF(AND(ISNUMBER(O11),ISNUMBER('Site Nights'!$G$18),ISNUMBER('Site Nights'!$I$18)),O11*'Site Nights'!$G$18+'Site Nights'!$I$18,"n.a."),"n.a.")</x:f>
        <x:v>51308.799999999996</x:v>
      </x:c>
      <x:c r="P13" s="51" t="n">
        <x:f>IF(AND('Site Nights'!N19="OK"),IF(AND(ISNUMBER(P11),ISNUMBER('Site Nights'!$G$19),ISNUMBER('Site Nights'!$I$19)),P11*'Site Nights'!$G$19+'Site Nights'!$I$19,"n.a."),"n.a.")</x:f>
        <x:v>50172</x:v>
      </x:c>
      <x:c r="Q13" s="51" t="n">
        <x:f>IF(AND('Site Nights'!N20="OK"),IF(AND(ISNUMBER(Q11),ISNUMBER('Site Nights'!$G$20),ISNUMBER('Site Nights'!$I$20)),Q11*'Site Nights'!$G$20+'Site Nights'!$I$20,"n.a."),"n.a.")</x:f>
        <x:v>45218.799999999996</x:v>
      </x:c>
      <x:c r="R13" s="51" t="n">
        <x:f>IF(AND('Site Nights'!N21="OK"),IF(AND(ISNUMBER(R11),ISNUMBER('Site Nights'!$G$21),ISNUMBER('Site Nights'!$I$21)),R11*'Site Nights'!$G$21+'Site Nights'!$I$21,"n.a."),"n.a.")</x:f>
        <x:v>44634.159999999996</x:v>
      </x:c>
    </x:row>
    <x:row r="14" ht="21" customHeight="1">
      <x:c r="A14" s="2"/>
      <x:c r="B14" s="2"/>
      <x:c r="C14" s="55" t="str">
        <x:v>Total operating revenue</x:v>
      </x:c>
      <x:c r="D14" s="55" t="str">
        <x:v>USD</x:v>
      </x:c>
      <x:c r="E14" s="56" t="n">
        <x:f>IF(COUNT(G14:R14)=12,SUM(G14:R14),"n.a.")</x:f>
        <x:v>1904937.14</x:v>
      </x:c>
      <x:c r="F14" s="55"/>
      <x:c r="G14" s="56" t="n">
        <x:f>IF(AND(ISNUMBER(G12),ISNUMBER(G13)),G12+G13,"n.a.")</x:f>
        <x:v>127270.23999999999</x:v>
      </x:c>
      <x:c r="H14" s="56" t="n">
        <x:f>IF(AND(ISNUMBER(H12),ISNUMBER(H13)),H12+H13,"n.a.")</x:f>
        <x:v>119939.04</x:v>
      </x:c>
      <x:c r="I14" s="56" t="n">
        <x:f>IF(AND(ISNUMBER(I12),ISNUMBER(I13)),I12+I13,"n.a.")</x:f>
        <x:v>144315.28</x:v>
      </x:c>
      <x:c r="J14" s="56" t="n">
        <x:f>IF(AND(ISNUMBER(J12),ISNUMBER(J13)),J12+J13,"n.a.")</x:f>
        <x:v>155587</x:v>
      </x:c>
      <x:c r="K14" s="56" t="n">
        <x:f>IF(AND(ISNUMBER(K12),ISNUMBER(K13)),K12+K13,"n.a.")</x:f>
        <x:v>172723.68</x:v>
      </x:c>
      <x:c r="L14" s="56" t="n">
        <x:f>IF(AND(ISNUMBER(L12),ISNUMBER(L13)),L12+L13,"n.a.")</x:f>
        <x:v>183079</x:v>
      </x:c>
      <x:c r="M14" s="56" t="n">
        <x:f>IF(AND(ISNUMBER(M12),ISNUMBER(M13)),M12+M13,"n.a.")</x:f>
        <x:v>195450.4</x:v>
      </x:c>
      <x:c r="N14" s="56" t="n">
        <x:f>IF(AND(ISNUMBER(N12),ISNUMBER(N13)),N12+N13,"n.a.")</x:f>
        <x:v>191189.13999999996</x:v>
      </x:c>
      <x:c r="O14" s="56" t="n">
        <x:f>IF(AND(ISNUMBER(O12),ISNUMBER(O13)),O12+O13,"n.a.")</x:f>
        <x:v>173456.8</x:v>
      </x:c>
      <x:c r="P14" s="56" t="n">
        <x:f>IF(AND(ISNUMBER(P12),ISNUMBER(P13)),P12+P13,"n.a.")</x:f>
        <x:v>167042</x:v>
      </x:c>
      <x:c r="Q14" s="56" t="n">
        <x:f>IF(AND(ISNUMBER(Q12),ISNUMBER(Q13)),Q12+Q13,"n.a.")</x:f>
        <x:v>139091.8</x:v>
      </x:c>
      <x:c r="R14" s="56" t="n">
        <x:f>IF(AND(ISNUMBER(R12),ISNUMBER(R13)),R12+R13,"n.a.")</x:f>
        <x:v>135792.75999999998</x:v>
      </x:c>
    </x:row>
    <x:row r="15" ht="21" customHeight="1">
      <x:c r="A15" s="2"/>
      <x:c r="B15" s="2"/>
      <x:c r="C15" s="2" t="str">
        <x:v>Site services and seasonal payroll</x:v>
      </x:c>
      <x:c r="D15" s="2" t="str">
        <x:v>USD</x:v>
      </x:c>
      <x:c r="E15" s="52" t="n">
        <x:f>IF(COUNT(G15:R15)=12,SUM(G15:R15),"n.a.")</x:f>
        <x:v>450525.2799999999</x:v>
      </x:c>
      <x:c r="F15" s="2"/>
      <x:c r="G15" s="51" t="n">
        <x:f>IF(AND('Site Nights'!N10="OK"),IF(AND(ISNUMBER(G11),ISNUMBER('Site Nights'!$H$10),ISNUMBER('Site Nights'!$J$10),ISNUMBER('Site Nights'!$K$10),ISNUMBER('Assumptions'!$D$67)),(G11*'Site Nights'!$H$10+'Site Nights'!$J$10+'Site Nights'!$K$10)*'Assumptions'!$D$67,"n.a."),"n.a.")</x:f>
        <x:v>34356.479999999996</x:v>
      </x:c>
      <x:c r="H15" s="51" t="n">
        <x:f>IF(AND('Site Nights'!N11="OK"),IF(AND(ISNUMBER(H11),ISNUMBER('Site Nights'!$H$11),ISNUMBER('Site Nights'!$J$11),ISNUMBER('Site Nights'!$K$11),ISNUMBER('Assumptions'!$D$67)),(H11*'Site Nights'!$H$11+'Site Nights'!$J$11+'Site Nights'!$K$11)*'Assumptions'!$D$67,"n.a."),"n.a.")</x:f>
        <x:v>33614.08</x:v>
      </x:c>
      <x:c r="I15" s="51" t="n">
        <x:f>IF(AND('Site Nights'!N12="OK"),IF(AND(ISNUMBER(I11),ISNUMBER('Site Nights'!$H$12),ISNUMBER('Site Nights'!$J$12),ISNUMBER('Site Nights'!$K$12),ISNUMBER('Assumptions'!$D$67)),(I11*'Site Nights'!$H$12+'Site Nights'!$J$12+'Site Nights'!$K$12)*'Assumptions'!$D$67,"n.a."),"n.a.")</x:f>
        <x:v>36082.56</x:v>
      </x:c>
      <x:c r="J15" s="51" t="n">
        <x:f>IF(AND('Site Nights'!N13="OK"),IF(AND(ISNUMBER(J11),ISNUMBER('Site Nights'!$H$13),ISNUMBER('Site Nights'!$J$13),ISNUMBER('Site Nights'!$K$13),ISNUMBER('Assumptions'!$D$67)),(J11*'Site Nights'!$H$13+'Site Nights'!$J$13+'Site Nights'!$K$13)*'Assumptions'!$D$67,"n.a."),"n.a.")</x:f>
        <x:v>37224</x:v>
      </x:c>
      <x:c r="K15" s="51" t="n">
        <x:f>IF(AND('Site Nights'!N14="OK"),IF(AND(ISNUMBER(K11),ISNUMBER('Site Nights'!$H$14),ISNUMBER('Site Nights'!$J$14),ISNUMBER('Site Nights'!$K$14),ISNUMBER('Assumptions'!$D$67)),(K11*'Site Nights'!$H$14+'Site Nights'!$J$14+'Site Nights'!$K$14)*'Assumptions'!$D$67,"n.a."),"n.a.")</x:f>
        <x:v>38959.36</x:v>
      </x:c>
      <x:c r="L15" s="51" t="n">
        <x:f>IF(AND('Site Nights'!N15="OK"),IF(AND(ISNUMBER(L11),ISNUMBER('Site Nights'!$H$15),ISNUMBER('Site Nights'!$J$15),ISNUMBER('Site Nights'!$K$15),ISNUMBER('Assumptions'!$D$67)),(L11*'Site Nights'!$H$15+'Site Nights'!$J$15+'Site Nights'!$K$15)*'Assumptions'!$D$67,"n.a."),"n.a.")</x:f>
        <x:v>40008</x:v>
      </x:c>
      <x:c r="M15" s="51" t="n">
        <x:f>IF(AND('Site Nights'!N16="OK"),IF(AND(ISNUMBER(M11),ISNUMBER('Site Nights'!$H$16),ISNUMBER('Site Nights'!$J$16),ISNUMBER('Site Nights'!$K$16),ISNUMBER('Assumptions'!$D$67)),(M11*'Site Nights'!$H$16+'Site Nights'!$J$16+'Site Nights'!$K$16)*'Assumptions'!$D$67,"n.a."),"n.a.")</x:f>
        <x:v>41260.8</x:v>
      </x:c>
      <x:c r="N15" s="51" t="n">
        <x:f>IF(AND('Site Nights'!N17="OK"),IF(AND(ISNUMBER(N11),ISNUMBER('Site Nights'!$H$17),ISNUMBER('Site Nights'!$J$17),ISNUMBER('Site Nights'!$K$17),ISNUMBER('Assumptions'!$D$67)),(N11*'Site Nights'!$H$17+'Site Nights'!$J$17+'Site Nights'!$K$17)*'Assumptions'!$D$67,"n.a."),"n.a.")</x:f>
        <x:v>40829.28</x:v>
      </x:c>
      <x:c r="O15" s="51" t="n">
        <x:f>IF(AND('Site Nights'!N18="OK"),IF(AND(ISNUMBER(O11),ISNUMBER('Site Nights'!$H$18),ISNUMBER('Site Nights'!$J$18),ISNUMBER('Site Nights'!$K$18),ISNUMBER('Assumptions'!$D$67)),(O11*'Site Nights'!$H$18+'Site Nights'!$J$18+'Site Nights'!$K$18)*'Assumptions'!$D$67,"n.a."),"n.a.")</x:f>
        <x:v>39033.6</x:v>
      </x:c>
      <x:c r="P15" s="51" t="n">
        <x:f>IF(AND('Site Nights'!N19="OK"),IF(AND(ISNUMBER(P11),ISNUMBER('Site Nights'!$H$19),ISNUMBER('Site Nights'!$J$19),ISNUMBER('Site Nights'!$K$19),ISNUMBER('Assumptions'!$D$67)),(P11*'Site Nights'!$H$19+'Site Nights'!$J$19+'Site Nights'!$K$19)*'Assumptions'!$D$67,"n.a."),"n.a.")</x:f>
        <x:v>38384</x:v>
      </x:c>
      <x:c r="Q15" s="51" t="n">
        <x:f>IF(AND('Site Nights'!N20="OK"),IF(AND(ISNUMBER(Q11),ISNUMBER('Site Nights'!$H$20),ISNUMBER('Site Nights'!$J$20),ISNUMBER('Site Nights'!$K$20),ISNUMBER('Assumptions'!$D$67)),(Q11*'Site Nights'!$H$20+'Site Nights'!$J$20+'Site Nights'!$K$20)*'Assumptions'!$D$67,"n.a."),"n.a.")</x:f>
        <x:v>35553.6</x:v>
      </x:c>
      <x:c r="R15" s="51" t="n">
        <x:f>IF(AND('Site Nights'!N21="OK"),IF(AND(ISNUMBER(R11),ISNUMBER('Site Nights'!$H$21),ISNUMBER('Site Nights'!$J$21),ISNUMBER('Site Nights'!$K$21),ISNUMBER('Assumptions'!$D$67)),(R11*'Site Nights'!$H$21+'Site Nights'!$J$21+'Site Nights'!$K$21)*'Assumptions'!$D$67,"n.a."),"n.a.")</x:f>
        <x:v>35219.52</x:v>
      </x:c>
    </x:row>
    <x:row r="16" ht="21" customHeight="1">
      <x:c r="A16" s="2"/>
      <x:c r="B16" s="2"/>
      <x:c r="C16" s="2" t="str">
        <x:v>Capital-work cash</x:v>
      </x:c>
      <x:c r="D16" s="2" t="str">
        <x:v>USD</x:v>
      </x:c>
      <x:c r="E16" s="52" t="n">
        <x:f>IF(COUNT(G16:R16)=12,SUM(G16:R16),"n.a.")</x:f>
        <x:v>102500</x:v>
      </x:c>
      <x:c r="F16" s="2"/>
      <x:c r="G16" s="51" t="n">
        <x:f>IF(AND('Site Nights'!N10="OK"),IF(AND(ISNUMBER('Site Nights'!$L$10),ISNUMBER('Assumptions'!$D$70)),'Site Nights'!$L$10*'Assumptions'!$D$70,"n.a."),"n.a.")</x:f>
        <x:v>2500</x:v>
      </x:c>
      <x:c r="H16" s="51" t="n">
        <x:f>IF(AND('Site Nights'!N11="OK"),IF(AND(ISNUMBER('Site Nights'!$L$11),ISNUMBER('Assumptions'!$D$70)),'Site Nights'!$L$11*'Assumptions'!$D$70,"n.a."),"n.a.")</x:f>
        <x:v>2500</x:v>
      </x:c>
      <x:c r="I16" s="51" t="n">
        <x:f>IF(AND('Site Nights'!N12="OK"),IF(AND(ISNUMBER('Site Nights'!$L$12),ISNUMBER('Assumptions'!$D$70)),'Site Nights'!$L$12*'Assumptions'!$D$70,"n.a."),"n.a.")</x:f>
        <x:v>2500</x:v>
      </x:c>
      <x:c r="J16" s="51" t="n">
        <x:f>IF(AND('Site Nights'!N13="OK"),IF(AND(ISNUMBER('Site Nights'!$L$13),ISNUMBER('Assumptions'!$D$70)),'Site Nights'!$L$13*'Assumptions'!$D$70,"n.a."),"n.a.")</x:f>
        <x:v>75000</x:v>
      </x:c>
      <x:c r="K16" s="51" t="n">
        <x:f>IF(AND('Site Nights'!N14="OK"),IF(AND(ISNUMBER('Site Nights'!$L$14),ISNUMBER('Assumptions'!$D$70)),'Site Nights'!$L$14*'Assumptions'!$D$70,"n.a."),"n.a.")</x:f>
        <x:v>2500</x:v>
      </x:c>
      <x:c r="L16" s="51" t="n">
        <x:f>IF(AND('Site Nights'!N15="OK"),IF(AND(ISNUMBER('Site Nights'!$L$15),ISNUMBER('Assumptions'!$D$70)),'Site Nights'!$L$15*'Assumptions'!$D$70,"n.a."),"n.a.")</x:f>
        <x:v>2500</x:v>
      </x:c>
      <x:c r="M16" s="51" t="n">
        <x:f>IF(AND('Site Nights'!N16="OK"),IF(AND(ISNUMBER('Site Nights'!$L$16),ISNUMBER('Assumptions'!$D$70)),'Site Nights'!$L$16*'Assumptions'!$D$70,"n.a."),"n.a.")</x:f>
        <x:v>2500</x:v>
      </x:c>
      <x:c r="N16" s="51" t="n">
        <x:f>IF(AND('Site Nights'!N17="OK"),IF(AND(ISNUMBER('Site Nights'!$L$17),ISNUMBER('Assumptions'!$D$70)),'Site Nights'!$L$17*'Assumptions'!$D$70,"n.a."),"n.a.")</x:f>
        <x:v>2500</x:v>
      </x:c>
      <x:c r="O16" s="51" t="n">
        <x:f>IF(AND('Site Nights'!N18="OK"),IF(AND(ISNUMBER('Site Nights'!$L$18),ISNUMBER('Assumptions'!$D$70)),'Site Nights'!$L$18*'Assumptions'!$D$70,"n.a."),"n.a.")</x:f>
        <x:v>2500</x:v>
      </x:c>
      <x:c r="P16" s="51" t="n">
        <x:f>IF(AND('Site Nights'!N19="OK"),IF(AND(ISNUMBER('Site Nights'!$L$19),ISNUMBER('Assumptions'!$D$70)),'Site Nights'!$L$19*'Assumptions'!$D$70,"n.a."),"n.a.")</x:f>
        <x:v>2500</x:v>
      </x:c>
      <x:c r="Q16" s="51" t="n">
        <x:f>IF(AND('Site Nights'!N20="OK"),IF(AND(ISNUMBER('Site Nights'!$L$20),ISNUMBER('Assumptions'!$D$70)),'Site Nights'!$L$20*'Assumptions'!$D$70,"n.a."),"n.a.")</x:f>
        <x:v>2500</x:v>
      </x:c>
      <x:c r="R16" s="51" t="n">
        <x:f>IF(AND('Site Nights'!N21="OK"),IF(AND(ISNUMBER('Site Nights'!$L$21),ISNUMBER('Assumptions'!$D$70)),'Site Nights'!$L$21*'Assumptions'!$D$70,"n.a."),"n.a.")</x:f>
        <x:v>2500</x:v>
      </x:c>
    </x:row>
    <x:row r="17" ht="21" customHeight="1">
      <x:c r="A17" s="2"/>
      <x:c r="B17" s="2"/>
      <x:c r="C17" s="2" t="str">
        <x:v>Fixed property / entity costs</x:v>
      </x:c>
      <x:c r="D17" s="2" t="str">
        <x:v>USD</x:v>
      </x:c>
      <x:c r="E17" s="52" t="n">
        <x:f>IF(COUNT(G17:R17)=12,SUM(G17:R17),"n.a.")</x:f>
        <x:v>180000</x:v>
      </x:c>
      <x:c r="F17" s="2"/>
      <x:c r="G17" s="51" t="n">
        <x:f>IF(AND(ISNUMBER('Assumptions'!$D$55)),'Assumptions'!$D$55/12,"n.a.")</x:f>
        <x:v>15000</x:v>
      </x:c>
      <x:c r="H17" s="51" t="n">
        <x:f>IF(AND(ISNUMBER('Assumptions'!$D$55)),'Assumptions'!$D$55/12,"n.a.")</x:f>
        <x:v>15000</x:v>
      </x:c>
      <x:c r="I17" s="51" t="n">
        <x:f>IF(AND(ISNUMBER('Assumptions'!$D$55)),'Assumptions'!$D$55/12,"n.a.")</x:f>
        <x:v>15000</x:v>
      </x:c>
      <x:c r="J17" s="51" t="n">
        <x:f>IF(AND(ISNUMBER('Assumptions'!$D$55)),'Assumptions'!$D$55/12,"n.a.")</x:f>
        <x:v>15000</x:v>
      </x:c>
      <x:c r="K17" s="51" t="n">
        <x:f>IF(AND(ISNUMBER('Assumptions'!$D$55)),'Assumptions'!$D$55/12,"n.a.")</x:f>
        <x:v>15000</x:v>
      </x:c>
      <x:c r="L17" s="51" t="n">
        <x:f>IF(AND(ISNUMBER('Assumptions'!$D$55)),'Assumptions'!$D$55/12,"n.a.")</x:f>
        <x:v>15000</x:v>
      </x:c>
      <x:c r="M17" s="51" t="n">
        <x:f>IF(AND(ISNUMBER('Assumptions'!$D$55)),'Assumptions'!$D$55/12,"n.a.")</x:f>
        <x:v>15000</x:v>
      </x:c>
      <x:c r="N17" s="51" t="n">
        <x:f>IF(AND(ISNUMBER('Assumptions'!$D$55)),'Assumptions'!$D$55/12,"n.a.")</x:f>
        <x:v>15000</x:v>
      </x:c>
      <x:c r="O17" s="51" t="n">
        <x:f>IF(AND(ISNUMBER('Assumptions'!$D$55)),'Assumptions'!$D$55/12,"n.a.")</x:f>
        <x:v>15000</x:v>
      </x:c>
      <x:c r="P17" s="51" t="n">
        <x:f>IF(AND(ISNUMBER('Assumptions'!$D$55)),'Assumptions'!$D$55/12,"n.a.")</x:f>
        <x:v>15000</x:v>
      </x:c>
      <x:c r="Q17" s="51" t="n">
        <x:f>IF(AND(ISNUMBER('Assumptions'!$D$55)),'Assumptions'!$D$55/12,"n.a.")</x:f>
        <x:v>15000</x:v>
      </x:c>
      <x:c r="R17" s="51" t="n">
        <x:f>IF(AND(ISNUMBER('Assumptions'!$D$55)),'Assumptions'!$D$55/12,"n.a.")</x:f>
        <x:v>15000</x:v>
      </x:c>
    </x:row>
    <x:row r="18" ht="21" customHeight="1">
      <x:c r="A18" s="2"/>
      <x:c r="B18" s="2"/>
      <x:c r="C18" s="55" t="str">
        <x:v>Total cash operating costs</x:v>
      </x:c>
      <x:c r="D18" s="55" t="str">
        <x:v>USD</x:v>
      </x:c>
      <x:c r="E18" s="56" t="n">
        <x:f>IF(COUNT(G18:R18)=12,SUM(G18:R18),"n.a.")</x:f>
        <x:v>630525.2799999999</x:v>
      </x:c>
      <x:c r="F18" s="55"/>
      <x:c r="G18" s="56" t="n">
        <x:f>IF(AND(ISNUMBER(G15),ISNUMBER(G17)),G15+G17,"n.a.")</x:f>
        <x:v>49356.479999999996</x:v>
      </x:c>
      <x:c r="H18" s="56" t="n">
        <x:f>IF(AND(ISNUMBER(H15),ISNUMBER(H17)),H15+H17,"n.a.")</x:f>
        <x:v>48614.08</x:v>
      </x:c>
      <x:c r="I18" s="56" t="n">
        <x:f>IF(AND(ISNUMBER(I15),ISNUMBER(I17)),I15+I17,"n.a.")</x:f>
        <x:v>51082.56</x:v>
      </x:c>
      <x:c r="J18" s="56" t="n">
        <x:f>IF(AND(ISNUMBER(J15),ISNUMBER(J17)),J15+J17,"n.a.")</x:f>
        <x:v>52224</x:v>
      </x:c>
      <x:c r="K18" s="56" t="n">
        <x:f>IF(AND(ISNUMBER(K15),ISNUMBER(K17)),K15+K17,"n.a.")</x:f>
        <x:v>53959.36</x:v>
      </x:c>
      <x:c r="L18" s="56" t="n">
        <x:f>IF(AND(ISNUMBER(L15),ISNUMBER(L17)),L15+L17,"n.a.")</x:f>
        <x:v>55008</x:v>
      </x:c>
      <x:c r="M18" s="56" t="n">
        <x:f>IF(AND(ISNUMBER(M15),ISNUMBER(M17)),M15+M17,"n.a.")</x:f>
        <x:v>56260.8</x:v>
      </x:c>
      <x:c r="N18" s="56" t="n">
        <x:f>IF(AND(ISNUMBER(N15),ISNUMBER(N17)),N15+N17,"n.a.")</x:f>
        <x:v>55829.28</x:v>
      </x:c>
      <x:c r="O18" s="56" t="n">
        <x:f>IF(AND(ISNUMBER(O15),ISNUMBER(O17)),O15+O17,"n.a.")</x:f>
        <x:v>54033.6</x:v>
      </x:c>
      <x:c r="P18" s="56" t="n">
        <x:f>IF(AND(ISNUMBER(P15),ISNUMBER(P17)),P15+P17,"n.a.")</x:f>
        <x:v>53384</x:v>
      </x:c>
      <x:c r="Q18" s="56" t="n">
        <x:f>IF(AND(ISNUMBER(Q15),ISNUMBER(Q17)),Q15+Q17,"n.a.")</x:f>
        <x:v>50553.6</x:v>
      </x:c>
      <x:c r="R18" s="56" t="n">
        <x:f>IF(AND(ISNUMBER(R15),ISNUMBER(R17)),R15+R17,"n.a.")</x:f>
        <x:v>50219.52</x:v>
      </x:c>
    </x:row>
    <x:row r="19" ht="21" customHeight="1">
      <x:c r="A19" s="2"/>
      <x:c r="B19" s="2"/>
      <x:c r="C19" s="55" t="str">
        <x:v>NOI / operating cash before reserves</x:v>
      </x:c>
      <x:c r="D19" s="55" t="str">
        <x:v>USD</x:v>
      </x:c>
      <x:c r="E19" s="56" t="n">
        <x:f>IF(COUNT(G19:R19)=12,SUM(G19:R19),"n.a.")</x:f>
        <x:v>1274411.8599999999</x:v>
      </x:c>
      <x:c r="F19" s="55"/>
      <x:c r="G19" s="56" t="n">
        <x:f>IF(AND(ISNUMBER(G14),ISNUMBER(G18)),G14-G18,"n.a.")</x:f>
        <x:v>77913.76</x:v>
      </x:c>
      <x:c r="H19" s="56" t="n">
        <x:f>IF(AND(ISNUMBER(H14),ISNUMBER(H18)),H14-H18,"n.a.")</x:f>
        <x:v>71324.95999999999</x:v>
      </x:c>
      <x:c r="I19" s="56" t="n">
        <x:f>IF(AND(ISNUMBER(I14),ISNUMBER(I18)),I14-I18,"n.a.")</x:f>
        <x:v>93232.72</x:v>
      </x:c>
      <x:c r="J19" s="56" t="n">
        <x:f>IF(AND(ISNUMBER(J14),ISNUMBER(J18)),J14-J18,"n.a.")</x:f>
        <x:v>103363</x:v>
      </x:c>
      <x:c r="K19" s="56" t="n">
        <x:f>IF(AND(ISNUMBER(K14),ISNUMBER(K18)),K14-K18,"n.a.")</x:f>
        <x:v>118764.31999999999</x:v>
      </x:c>
      <x:c r="L19" s="56" t="n">
        <x:f>IF(AND(ISNUMBER(L14),ISNUMBER(L18)),L14-L18,"n.a.")</x:f>
        <x:v>128071</x:v>
      </x:c>
      <x:c r="M19" s="56" t="n">
        <x:f>IF(AND(ISNUMBER(M14),ISNUMBER(M18)),M14-M18,"n.a.")</x:f>
        <x:v>139189.59999999998</x:v>
      </x:c>
      <x:c r="N19" s="56" t="n">
        <x:f>IF(AND(ISNUMBER(N14),ISNUMBER(N18)),N14-N18,"n.a.")</x:f>
        <x:v>135359.85999999996</x:v>
      </x:c>
      <x:c r="O19" s="56" t="n">
        <x:f>IF(AND(ISNUMBER(O14),ISNUMBER(O18)),O14-O18,"n.a.")</x:f>
        <x:v>119423.19999999998</x:v>
      </x:c>
      <x:c r="P19" s="56" t="n">
        <x:f>IF(AND(ISNUMBER(P14),ISNUMBER(P18)),P14-P18,"n.a.")</x:f>
        <x:v>113658</x:v>
      </x:c>
      <x:c r="Q19" s="56" t="n">
        <x:f>IF(AND(ISNUMBER(Q14),ISNUMBER(Q18)),Q14-Q18,"n.a.")</x:f>
        <x:v>88538.19999999998</x:v>
      </x:c>
      <x:c r="R19" s="56" t="n">
        <x:f>IF(AND(ISNUMBER(R14),ISNUMBER(R18)),R14-R18,"n.a.")</x:f>
        <x:v>85573.23999999999</x:v>
      </x:c>
    </x:row>
    <x:row r="20" ht="21" customHeight="1">
      <x:c r="A20" s="2"/>
      <x:c r="B20" s="2"/>
      <x:c r="C20" s="2" t="str">
        <x:v>Cash replacement reserve deposits</x:v>
      </x:c>
      <x:c r="D20" s="2" t="str">
        <x:v>USD</x:v>
      </x:c>
      <x:c r="E20" s="52" t="n">
        <x:f>IF(COUNT(G20:R20)=12,SUM(G20:R20),"n.a.")</x:f>
        <x:v>57148.1142</x:v>
      </x:c>
      <x:c r="F20" s="2"/>
      <x:c r="G20" s="51" t="n">
        <x:f>IF(AND(ISNUMBER(G14),ISNUMBER('Assumptions'!$D$58)),MAX(0,G14)*'Assumptions'!$D$58,"n.a.")</x:f>
        <x:v>3818.1071999999995</x:v>
      </x:c>
      <x:c r="H20" s="51" t="n">
        <x:f>IF(AND(ISNUMBER(H14),ISNUMBER('Assumptions'!$D$58)),MAX(0,H14)*'Assumptions'!$D$58,"n.a.")</x:f>
        <x:v>3598.1711999999998</x:v>
      </x:c>
      <x:c r="I20" s="51" t="n">
        <x:f>IF(AND(ISNUMBER(I14),ISNUMBER('Assumptions'!$D$58)),MAX(0,I14)*'Assumptions'!$D$58,"n.a.")</x:f>
        <x:v>4329.4583999999995</x:v>
      </x:c>
      <x:c r="J20" s="51" t="n">
        <x:f>IF(AND(ISNUMBER(J14),ISNUMBER('Assumptions'!$D$58)),MAX(0,J14)*'Assumptions'!$D$58,"n.a.")</x:f>
        <x:v>4667.61</x:v>
      </x:c>
      <x:c r="K20" s="51" t="n">
        <x:f>IF(AND(ISNUMBER(K14),ISNUMBER('Assumptions'!$D$58)),MAX(0,K14)*'Assumptions'!$D$58,"n.a.")</x:f>
        <x:v>5181.7104</x:v>
      </x:c>
      <x:c r="L20" s="51" t="n">
        <x:f>IF(AND(ISNUMBER(L14),ISNUMBER('Assumptions'!$D$58)),MAX(0,L14)*'Assumptions'!$D$58,"n.a.")</x:f>
        <x:v>5492.37</x:v>
      </x:c>
      <x:c r="M20" s="51" t="n">
        <x:f>IF(AND(ISNUMBER(M14),ISNUMBER('Assumptions'!$D$58)),MAX(0,M14)*'Assumptions'!$D$58,"n.a.")</x:f>
        <x:v>5863.512</x:v>
      </x:c>
      <x:c r="N20" s="51" t="n">
        <x:f>IF(AND(ISNUMBER(N14),ISNUMBER('Assumptions'!$D$58)),MAX(0,N14)*'Assumptions'!$D$58,"n.a.")</x:f>
        <x:v>5735.674199999999</x:v>
      </x:c>
      <x:c r="O20" s="51" t="n">
        <x:f>IF(AND(ISNUMBER(O14),ISNUMBER('Assumptions'!$D$58)),MAX(0,O14)*'Assumptions'!$D$58,"n.a.")</x:f>
        <x:v>5203.704</x:v>
      </x:c>
      <x:c r="P20" s="51" t="n">
        <x:f>IF(AND(ISNUMBER(P14),ISNUMBER('Assumptions'!$D$58)),MAX(0,P14)*'Assumptions'!$D$58,"n.a.")</x:f>
        <x:v>5011.26</x:v>
      </x:c>
      <x:c r="Q20" s="51" t="n">
        <x:f>IF(AND(ISNUMBER(Q14),ISNUMBER('Assumptions'!$D$58)),MAX(0,Q14)*'Assumptions'!$D$58,"n.a.")</x:f>
        <x:v>4172.754</x:v>
      </x:c>
      <x:c r="R20" s="51" t="n">
        <x:f>IF(AND(ISNUMBER(R14),ISNUMBER('Assumptions'!$D$58)),MAX(0,R14)*'Assumptions'!$D$58,"n.a.")</x:f>
        <x:v>4073.782799999999</x:v>
      </x:c>
    </x:row>
    <x:row r="21" ht="21" customHeight="1">
      <x:c r="A21" s="2"/>
      <x:c r="B21" s="2"/>
      <x:c r="C21" s="55" t="str">
        <x:v>Cash NCF before property debt / capital</x:v>
      </x:c>
      <x:c r="D21" s="55" t="str">
        <x:v>USD</x:v>
      </x:c>
      <x:c r="E21" s="56" t="n">
        <x:f>IF(COUNT(G21:R21)=12,SUM(G21:R21),"n.a.")</x:f>
        <x:v>1217263.7458</x:v>
      </x:c>
      <x:c r="F21" s="55"/>
      <x:c r="G21" s="56" t="n">
        <x:f>IF(AND(ISNUMBER(G19),ISNUMBER(G20)),G19-G20,"n.a.")</x:f>
        <x:v>74095.6528</x:v>
      </x:c>
      <x:c r="H21" s="56" t="n">
        <x:f>IF(AND(ISNUMBER(H19),ISNUMBER(H20)),H19-H20,"n.a.")</x:f>
        <x:v>67726.7888</x:v>
      </x:c>
      <x:c r="I21" s="56" t="n">
        <x:f>IF(AND(ISNUMBER(I19),ISNUMBER(I20)),I19-I20,"n.a.")</x:f>
        <x:v>88903.2616</x:v>
      </x:c>
      <x:c r="J21" s="56" t="n">
        <x:f>IF(AND(ISNUMBER(J19),ISNUMBER(J20)),J19-J20,"n.a.")</x:f>
        <x:v>98695.39</x:v>
      </x:c>
      <x:c r="K21" s="56" t="n">
        <x:f>IF(AND(ISNUMBER(K19),ISNUMBER(K20)),K19-K20,"n.a.")</x:f>
        <x:v>113582.6096</x:v>
      </x:c>
      <x:c r="L21" s="56" t="n">
        <x:f>IF(AND(ISNUMBER(L19),ISNUMBER(L20)),L19-L20,"n.a.")</x:f>
        <x:v>122578.63</x:v>
      </x:c>
      <x:c r="M21" s="56" t="n">
        <x:f>IF(AND(ISNUMBER(M19),ISNUMBER(M20)),M19-M20,"n.a.")</x:f>
        <x:v>133326.088</x:v>
      </x:c>
      <x:c r="N21" s="56" t="n">
        <x:f>IF(AND(ISNUMBER(N19),ISNUMBER(N20)),N19-N20,"n.a.")</x:f>
        <x:v>129624.18579999996</x:v>
      </x:c>
      <x:c r="O21" s="56" t="n">
        <x:f>IF(AND(ISNUMBER(O19),ISNUMBER(O20)),O19-O20,"n.a.")</x:f>
        <x:v>114219.49599999998</x:v>
      </x:c>
      <x:c r="P21" s="56" t="n">
        <x:f>IF(AND(ISNUMBER(P19),ISNUMBER(P20)),P19-P20,"n.a.")</x:f>
        <x:v>108646.74</x:v>
      </x:c>
      <x:c r="Q21" s="56" t="n">
        <x:f>IF(AND(ISNUMBER(Q19),ISNUMBER(Q20)),Q19-Q20,"n.a.")</x:f>
        <x:v>84365.44599999998</x:v>
      </x:c>
      <x:c r="R21" s="56" t="n">
        <x:f>IF(AND(ISNUMBER(R19),ISNUMBER(R20)),R19-R20,"n.a.")</x:f>
        <x:v>81499.45719999999</x:v>
      </x:c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51" t="n">
        <x:f>IF(AND(ISNUMBER('Operations'!E21),ISNUMBER('Assumptions'!$D$52)),'Operations'!E21+'Assumptions'!$D$52,"n.a.")</x:f>
        <x:v>1217263.7458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58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51" t="n">
        <x:f>IF(AND(ISNUMBER(D9),ISNUMBER('Assumptions'!$D$46),ISNUMBER(D10)),MAX(0,D9)/'Assumptions'!$D$46/(D10*12),"n.a.")</x:f>
        <x:v>12018669.385066662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51" t="n">
        <x:f>IF(AND(ISNUMBER('Assumptions'!$D$10),ISNUMBER('Assumptions'!$D$43)),'Assumptions'!$D$10*'Assumptions'!$D$43,"n.a.")</x:f>
        <x:v>3900000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51" t="n">
        <x:f>IF(AND(ISNUMBER(D9),ISNUMBER('Assumptions'!$D$49)),MAX(0,D9)/'Assumptions'!$D$49,"n.a.")</x:f>
        <x:v>13525152.731111111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51" t="n">
        <x:f>IF(AND(ISNUMBER(D11),ISNUMBER(D12),ISNUMBER(D13),ISNUMBER('Assumptions'!$D$28)),MIN(D11,D12,D13,'Assumptions'!$D$28),"n.a.")</x:f>
        <x:v>3900000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LTV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52" t="n">
        <x:f>IF(AND(ISNUMBER(D14),ISNUMBER(D10)),D14*D10,"n.a.")</x:f>
        <x:v>26333.079292558024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51" t="n">
        <x:f>IF(AND(ISNUMBER('Assumptions'!$D$13),ISNUMBER('Assumptions'!$D$16),ISNUMBER('Assumptions'!$D$19),ISNUMBER('Assumptions'!$D$22)),'Assumptions'!$D$13+'Assumptions'!$D$16+'Assumptions'!$D$19+'Assumptions'!$D$22,"n.a.")</x:f>
        <x:v>5900000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52" t="n">
        <x:f>IF(AND(ISNUMBER(D17),ISNUMBER(D14)),D17-D14,"n.a.")</x:f>
        <x:v>2000000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51" t="n">
        <x:f>IF(AND(ISNUMBER('Assumptions'!$D$25),ISNUMBER(D18)),'Assumptions'!$D$25-D18,"n.a.")</x:f>
        <x:v>500000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51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3574327.7897744942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59" t="n">
        <x:f>IF(AND(ISNUMBER(D14)),D14,"n.a.")</x:f>
        <x:v>3900000</x:v>
      </x:c>
      <x:c r="H29" s="59" t="n">
        <x:f>IF(AND(ISNUMBER(G33)),G33,"n.a.")</x:f>
        <x:v>3900000</x:v>
      </x:c>
      <x:c r="I29" s="59" t="n">
        <x:f>IF(AND(ISNUMBER(H33)),H33,"n.a.")</x:f>
        <x:v>3900000</x:v>
      </x:c>
      <x:c r="J29" s="59" t="n">
        <x:f>IF(AND(ISNUMBER(I33)),I33,"n.a.")</x:f>
        <x:v>3900000</x:v>
      </x:c>
      <x:c r="K29" s="59" t="n">
        <x:f>IF(AND(ISNUMBER(J33)),J33,"n.a.")</x:f>
        <x:v>3900000</x:v>
      </x:c>
      <x:c r="L29" s="59" t="n">
        <x:f>IF(AND(ISNUMBER(K33)),K33,"n.a.")</x:f>
        <x:v>3900000</x:v>
      </x:c>
      <x:c r="M29" s="59" t="n">
        <x:f>IF(AND(ISNUMBER(L33)),L33,"n.a.")</x:f>
        <x:v>3900000</x:v>
      </x:c>
      <x:c r="N29" s="59" t="n">
        <x:f>IF(AND(ISNUMBER(M33)),M33,"n.a.")</x:f>
        <x:v>3894791.920707442</x:v>
      </x:c>
      <x:c r="O29" s="59" t="n">
        <x:f>IF(AND(ISNUMBER(N33)),N33,"n.a.")</x:f>
        <x:v>3889555.6309853825</x:v>
      </x:c>
      <x:c r="P29" s="59" t="n">
        <x:f>IF(AND(ISNUMBER(O33)),O33,"n.a.")</x:f>
        <x:v>3884290.9780273284</x:v>
      </x:c>
      <x:c r="Q29" s="59" t="n">
        <x:f>IF(AND(ISNUMBER(P33)),P33,"n.a.")</x:f>
        <x:v>3878997.808199085</x:v>
      </x:c>
      <x:c r="R29" s="59" t="n">
        <x:f>IF(AND(ISNUMBER(Q33)),Q33,"n.a.")</x:f>
        <x:v>3873675.967034272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60" t="n">
        <x:f>IF(AND(ISNUMBER(G29),ISNUMBER('Assumptions'!$D$31)),G29*'Assumptions'!$D$31/12,"n.a.")</x:f>
        <x:v>21125</x:v>
      </x:c>
      <x:c r="H30" s="60" t="n">
        <x:f>IF(AND(ISNUMBER(H29),ISNUMBER('Assumptions'!$D$31)),H29*'Assumptions'!$D$31/12,"n.a.")</x:f>
        <x:v>21125</x:v>
      </x:c>
      <x:c r="I30" s="60" t="n">
        <x:f>IF(AND(ISNUMBER(I29),ISNUMBER('Assumptions'!$D$31)),I29*'Assumptions'!$D$31/12,"n.a.")</x:f>
        <x:v>21125</x:v>
      </x:c>
      <x:c r="J30" s="60" t="n">
        <x:f>IF(AND(ISNUMBER(J29),ISNUMBER('Assumptions'!$D$31)),J29*'Assumptions'!$D$31/12,"n.a.")</x:f>
        <x:v>21125</x:v>
      </x:c>
      <x:c r="K30" s="60" t="n">
        <x:f>IF(AND(ISNUMBER(K29),ISNUMBER('Assumptions'!$D$31)),K29*'Assumptions'!$D$31/12,"n.a.")</x:f>
        <x:v>21125</x:v>
      </x:c>
      <x:c r="L30" s="60" t="n">
        <x:f>IF(AND(ISNUMBER(L29),ISNUMBER('Assumptions'!$D$31)),L29*'Assumptions'!$D$31/12,"n.a.")</x:f>
        <x:v>21125</x:v>
      </x:c>
      <x:c r="M30" s="60" t="n">
        <x:f>IF(AND(ISNUMBER(M29),ISNUMBER('Assumptions'!$D$31)),M29*'Assumptions'!$D$31/12,"n.a.")</x:f>
        <x:v>21125</x:v>
      </x:c>
      <x:c r="N30" s="60" t="n">
        <x:f>IF(AND(ISNUMBER(N29),ISNUMBER('Assumptions'!$D$31)),N29*'Assumptions'!$D$31/12,"n.a.")</x:f>
        <x:v>21096.789570498644</x:v>
      </x:c>
      <x:c r="O30" s="60" t="n">
        <x:f>IF(AND(ISNUMBER(O29),ISNUMBER('Assumptions'!$D$31)),O29*'Assumptions'!$D$31/12,"n.a.")</x:f>
        <x:v>21068.426334504158</x:v>
      </x:c>
      <x:c r="P30" s="60" t="n">
        <x:f>IF(AND(ISNUMBER(P29),ISNUMBER('Assumptions'!$D$31)),P29*'Assumptions'!$D$31/12,"n.a.")</x:f>
        <x:v>21039.909464314696</x:v>
      </x:c>
      <x:c r="Q30" s="60" t="n">
        <x:f>IF(AND(ISNUMBER(Q29),ISNUMBER('Assumptions'!$D$31)),Q29*'Assumptions'!$D$31/12,"n.a.")</x:f>
        <x:v>21011.238127745044</x:v>
      </x:c>
      <x:c r="R30" s="60" t="n">
        <x:f>IF(AND(ISNUMBER(R29),ISNUMBER('Assumptions'!$D$31)),R29*'Assumptions'!$D$31/12,"n.a.")</x:f>
        <x:v>20982.41148810231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60" t="n">
        <x:f>IF(AND(ISNUMBER('Assumptions'!$D$37),ISNUMBER(G30),ISNUMBER(G29),ISNUMBER(D16)),IF(1&lt;='Assumptions'!$D$37,G30,MIN(G29+G30,D16)),"n.a.")</x:f>
        <x:v>21125</x:v>
      </x:c>
      <x:c r="H31" s="60" t="n">
        <x:f>IF(AND(ISNUMBER('Assumptions'!$D$37),ISNUMBER(H30),ISNUMBER(H29),ISNUMBER(D16)),IF(2&lt;='Assumptions'!$D$37,H30,MIN(H29+H30,D16)),"n.a.")</x:f>
        <x:v>21125</x:v>
      </x:c>
      <x:c r="I31" s="60" t="n">
        <x:f>IF(AND(ISNUMBER('Assumptions'!$D$37),ISNUMBER(I30),ISNUMBER(I29),ISNUMBER(D16)),IF(3&lt;='Assumptions'!$D$37,I30,MIN(I29+I30,D16)),"n.a.")</x:f>
        <x:v>21125</x:v>
      </x:c>
      <x:c r="J31" s="60" t="n">
        <x:f>IF(AND(ISNUMBER('Assumptions'!$D$37),ISNUMBER(J30),ISNUMBER(J29),ISNUMBER(D16)),IF(4&lt;='Assumptions'!$D$37,J30,MIN(J29+J30,D16)),"n.a.")</x:f>
        <x:v>21125</x:v>
      </x:c>
      <x:c r="K31" s="60" t="n">
        <x:f>IF(AND(ISNUMBER('Assumptions'!$D$37),ISNUMBER(K30),ISNUMBER(K29),ISNUMBER(D16)),IF(5&lt;='Assumptions'!$D$37,K30,MIN(K29+K30,D16)),"n.a.")</x:f>
        <x:v>21125</x:v>
      </x:c>
      <x:c r="L31" s="60" t="n">
        <x:f>IF(AND(ISNUMBER('Assumptions'!$D$37),ISNUMBER(L30),ISNUMBER(L29),ISNUMBER(D16)),IF(6&lt;='Assumptions'!$D$37,L30,MIN(L29+L30,D16)),"n.a.")</x:f>
        <x:v>21125</x:v>
      </x:c>
      <x:c r="M31" s="60" t="n">
        <x:f>IF(AND(ISNUMBER('Assumptions'!$D$37),ISNUMBER(M30),ISNUMBER(M29),ISNUMBER(D16)),IF(7&lt;='Assumptions'!$D$37,M30,MIN(M29+M30,D16)),"n.a.")</x:f>
        <x:v>26333.079292558024</x:v>
      </x:c>
      <x:c r="N31" s="60" t="n">
        <x:f>IF(AND(ISNUMBER('Assumptions'!$D$37),ISNUMBER(N30),ISNUMBER(N29),ISNUMBER(D16)),IF(8&lt;='Assumptions'!$D$37,N30,MIN(N29+N30,D16)),"n.a.")</x:f>
        <x:v>26333.079292558024</x:v>
      </x:c>
      <x:c r="O31" s="60" t="n">
        <x:f>IF(AND(ISNUMBER('Assumptions'!$D$37),ISNUMBER(O30),ISNUMBER(O29),ISNUMBER(D16)),IF(9&lt;='Assumptions'!$D$37,O30,MIN(O29+O30,D16)),"n.a.")</x:f>
        <x:v>26333.079292558024</x:v>
      </x:c>
      <x:c r="P31" s="60" t="n">
        <x:f>IF(AND(ISNUMBER('Assumptions'!$D$37),ISNUMBER(P30),ISNUMBER(P29),ISNUMBER(D16)),IF(10&lt;='Assumptions'!$D$37,P30,MIN(P29+P30,D16)),"n.a.")</x:f>
        <x:v>26333.079292558024</x:v>
      </x:c>
      <x:c r="Q31" s="60" t="n">
        <x:f>IF(AND(ISNUMBER('Assumptions'!$D$37),ISNUMBER(Q30),ISNUMBER(Q29),ISNUMBER(D16)),IF(11&lt;='Assumptions'!$D$37,Q30,MIN(Q29+Q30,D16)),"n.a.")</x:f>
        <x:v>26333.079292558024</x:v>
      </x:c>
      <x:c r="R31" s="60" t="n">
        <x:f>IF(AND(ISNUMBER('Assumptions'!$D$37),ISNUMBER(R30),ISNUMBER(R29),ISNUMBER(D16)),IF(12&lt;='Assumptions'!$D$37,R30,MIN(R29+R30,D16)),"n.a.")</x:f>
        <x:v>26333.079292558024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59" t="n">
        <x:f>IF(AND(ISNUMBER(G31),ISNUMBER(G30)),G31-G30,"n.a.")</x:f>
        <x:v>0</x:v>
      </x:c>
      <x:c r="H32" s="59" t="n">
        <x:f>IF(AND(ISNUMBER(H31),ISNUMBER(H30)),H31-H30,"n.a.")</x:f>
        <x:v>0</x:v>
      </x:c>
      <x:c r="I32" s="59" t="n">
        <x:f>IF(AND(ISNUMBER(I31),ISNUMBER(I30)),I31-I30,"n.a.")</x:f>
        <x:v>0</x:v>
      </x:c>
      <x:c r="J32" s="59" t="n">
        <x:f>IF(AND(ISNUMBER(J31),ISNUMBER(J30)),J31-J30,"n.a.")</x:f>
        <x:v>0</x:v>
      </x:c>
      <x:c r="K32" s="59" t="n">
        <x:f>IF(AND(ISNUMBER(K31),ISNUMBER(K30)),K31-K30,"n.a.")</x:f>
        <x:v>0</x:v>
      </x:c>
      <x:c r="L32" s="59" t="n">
        <x:f>IF(AND(ISNUMBER(L31),ISNUMBER(L30)),L31-L30,"n.a.")</x:f>
        <x:v>0</x:v>
      </x:c>
      <x:c r="M32" s="59" t="n">
        <x:f>IF(AND(ISNUMBER(M31),ISNUMBER(M30)),M31-M30,"n.a.")</x:f>
        <x:v>5208.0792925580245</x:v>
      </x:c>
      <x:c r="N32" s="59" t="n">
        <x:f>IF(AND(ISNUMBER(N31),ISNUMBER(N30)),N31-N30,"n.a.")</x:f>
        <x:v>5236.28972205938</x:v>
      </x:c>
      <x:c r="O32" s="59" t="n">
        <x:f>IF(AND(ISNUMBER(O31),ISNUMBER(O30)),O31-O30,"n.a.")</x:f>
        <x:v>5264.652958053866</x:v>
      </x:c>
      <x:c r="P32" s="59" t="n">
        <x:f>IF(AND(ISNUMBER(P31),ISNUMBER(P30)),P31-P30,"n.a.")</x:f>
        <x:v>5293.169828243328</x:v>
      </x:c>
      <x:c r="Q32" s="59" t="n">
        <x:f>IF(AND(ISNUMBER(Q31),ISNUMBER(Q30)),Q31-Q30,"n.a.")</x:f>
        <x:v>5321.84116481298</x:v>
      </x:c>
      <x:c r="R32" s="59" t="n">
        <x:f>IF(AND(ISNUMBER(R31),ISNUMBER(R30)),R31-R30,"n.a.")</x:f>
        <x:v>5350.667804455716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59" t="n">
        <x:f>IF(AND(ISNUMBER(G29),ISNUMBER(G32),ISNUMBER(G38)),G29-G32-G38,"n.a.")</x:f>
        <x:v>3900000</x:v>
      </x:c>
      <x:c r="H33" s="59" t="n">
        <x:f>IF(AND(ISNUMBER(H29),ISNUMBER(H32),ISNUMBER(H38)),H29-H32-H38,"n.a.")</x:f>
        <x:v>3900000</x:v>
      </x:c>
      <x:c r="I33" s="59" t="n">
        <x:f>IF(AND(ISNUMBER(I29),ISNUMBER(I32),ISNUMBER(I38)),I29-I32-I38,"n.a.")</x:f>
        <x:v>3900000</x:v>
      </x:c>
      <x:c r="J33" s="59" t="n">
        <x:f>IF(AND(ISNUMBER(J29),ISNUMBER(J32),ISNUMBER(J38)),J29-J32-J38,"n.a.")</x:f>
        <x:v>3900000</x:v>
      </x:c>
      <x:c r="K33" s="59" t="n">
        <x:f>IF(AND(ISNUMBER(K29),ISNUMBER(K32),ISNUMBER(K38)),K29-K32-K38,"n.a.")</x:f>
        <x:v>3900000</x:v>
      </x:c>
      <x:c r="L33" s="59" t="n">
        <x:f>IF(AND(ISNUMBER(L29),ISNUMBER(L32),ISNUMBER(L38)),L29-L32-L38,"n.a.")</x:f>
        <x:v>3900000</x:v>
      </x:c>
      <x:c r="M33" s="59" t="n">
        <x:f>IF(AND(ISNUMBER(M29),ISNUMBER(M32),ISNUMBER(M38)),M29-M32-M38,"n.a.")</x:f>
        <x:v>3894791.920707442</x:v>
      </x:c>
      <x:c r="N33" s="59" t="n">
        <x:f>IF(AND(ISNUMBER(N29),ISNUMBER(N32),ISNUMBER(N38)),N29-N32-N38,"n.a.")</x:f>
        <x:v>3889555.6309853825</x:v>
      </x:c>
      <x:c r="O33" s="59" t="n">
        <x:f>IF(AND(ISNUMBER(O29),ISNUMBER(O32),ISNUMBER(O38)),O29-O32-O38,"n.a.")</x:f>
        <x:v>3884290.9780273284</x:v>
      </x:c>
      <x:c r="P33" s="59" t="n">
        <x:f>IF(AND(ISNUMBER(P29),ISNUMBER(P32),ISNUMBER(P38)),P29-P32-P38,"n.a.")</x:f>
        <x:v>3878997.808199085</x:v>
      </x:c>
      <x:c r="Q33" s="59" t="n">
        <x:f>IF(AND(ISNUMBER(Q29),ISNUMBER(Q32),ISNUMBER(Q38)),Q29-Q32-Q38,"n.a.")</x:f>
        <x:v>3873675.967034272</x:v>
      </x:c>
      <x:c r="R33" s="59" t="n">
        <x:f>IF(AND(ISNUMBER(R29),ISNUMBER(R32),ISNUMBER(R38)),R29-R32-R38,"n.a.")</x:f>
        <x:v>3868325.299229816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60" t="n">
        <x:f>IF(AND(ISNUMBER('Operations'!G21)),'Operations'!G21,"n.a.")</x:f>
        <x:v>74095.6528</x:v>
      </x:c>
      <x:c r="H34" s="60" t="n">
        <x:f>IF(AND(ISNUMBER('Operations'!H21)),'Operations'!H21,"n.a.")</x:f>
        <x:v>67726.7888</x:v>
      </x:c>
      <x:c r="I34" s="60" t="n">
        <x:f>IF(AND(ISNUMBER('Operations'!I21)),'Operations'!I21,"n.a.")</x:f>
        <x:v>88903.2616</x:v>
      </x:c>
      <x:c r="J34" s="60" t="n">
        <x:f>IF(AND(ISNUMBER('Operations'!J21)),'Operations'!J21,"n.a.")</x:f>
        <x:v>98695.39</x:v>
      </x:c>
      <x:c r="K34" s="60" t="n">
        <x:f>IF(AND(ISNUMBER('Operations'!K21)),'Operations'!K21,"n.a.")</x:f>
        <x:v>113582.6096</x:v>
      </x:c>
      <x:c r="L34" s="60" t="n">
        <x:f>IF(AND(ISNUMBER('Operations'!L21)),'Operations'!L21,"n.a.")</x:f>
        <x:v>122578.63</x:v>
      </x:c>
      <x:c r="M34" s="60" t="n">
        <x:f>IF(AND(ISNUMBER('Operations'!M21)),'Operations'!M21,"n.a.")</x:f>
        <x:v>133326.088</x:v>
      </x:c>
      <x:c r="N34" s="60" t="n">
        <x:f>IF(AND(ISNUMBER('Operations'!N21)),'Operations'!N21,"n.a.")</x:f>
        <x:v>129624.18579999996</x:v>
      </x:c>
      <x:c r="O34" s="60" t="n">
        <x:f>IF(AND(ISNUMBER('Operations'!O21)),'Operations'!O21,"n.a.")</x:f>
        <x:v>114219.49599999998</x:v>
      </x:c>
      <x:c r="P34" s="60" t="n">
        <x:f>IF(AND(ISNUMBER('Operations'!P21)),'Operations'!P21,"n.a.")</x:f>
        <x:v>108646.74</x:v>
      </x:c>
      <x:c r="Q34" s="60" t="n">
        <x:f>IF(AND(ISNUMBER('Operations'!Q21)),'Operations'!Q21,"n.a.")</x:f>
        <x:v>84365.44599999998</x:v>
      </x:c>
      <x:c r="R34" s="60" t="n">
        <x:f>IF(AND(ISNUMBER('Operations'!R21)),'Operations'!R21,"n.a.")</x:f>
        <x:v>81499.45719999999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60" t="n">
        <x:f>IF(AND(ISNUMBER('Operations'!G16)),'Operations'!G16,"n.a.")</x:f>
        <x:v>2500</x:v>
      </x:c>
      <x:c r="H35" s="60" t="n">
        <x:f>IF(AND(ISNUMBER('Operations'!H16)),'Operations'!H16,"n.a.")</x:f>
        <x:v>2500</x:v>
      </x:c>
      <x:c r="I35" s="60" t="n">
        <x:f>IF(AND(ISNUMBER('Operations'!I16)),'Operations'!I16,"n.a.")</x:f>
        <x:v>2500</x:v>
      </x:c>
      <x:c r="J35" s="60" t="n">
        <x:f>IF(AND(ISNUMBER('Operations'!J16)),'Operations'!J16,"n.a.")</x:f>
        <x:v>75000</x:v>
      </x:c>
      <x:c r="K35" s="60" t="n">
        <x:f>IF(AND(ISNUMBER('Operations'!K16)),'Operations'!K16,"n.a.")</x:f>
        <x:v>2500</x:v>
      </x:c>
      <x:c r="L35" s="60" t="n">
        <x:f>IF(AND(ISNUMBER('Operations'!L16)),'Operations'!L16,"n.a.")</x:f>
        <x:v>2500</x:v>
      </x:c>
      <x:c r="M35" s="60" t="n">
        <x:f>IF(AND(ISNUMBER('Operations'!M16)),'Operations'!M16,"n.a.")</x:f>
        <x:v>2500</x:v>
      </x:c>
      <x:c r="N35" s="60" t="n">
        <x:f>IF(AND(ISNUMBER('Operations'!N16)),'Operations'!N16,"n.a.")</x:f>
        <x:v>2500</x:v>
      </x:c>
      <x:c r="O35" s="60" t="n">
        <x:f>IF(AND(ISNUMBER('Operations'!O16)),'Operations'!O16,"n.a.")</x:f>
        <x:v>2500</x:v>
      </x:c>
      <x:c r="P35" s="60" t="n">
        <x:f>IF(AND(ISNUMBER('Operations'!P16)),'Operations'!P16,"n.a.")</x:f>
        <x:v>2500</x:v>
      </x:c>
      <x:c r="Q35" s="60" t="n">
        <x:f>IF(AND(ISNUMBER('Operations'!Q16)),'Operations'!Q16,"n.a.")</x:f>
        <x:v>2500</x:v>
      </x:c>
      <x:c r="R35" s="60" t="n">
        <x:f>IF(AND(ISNUMBER('Operations'!R16)),'Operations'!R16,"n.a.")</x:f>
        <x:v>2500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59" t="n">
        <x:f>IF(AND(ISNUMBER(G34),ISNUMBER(G31),ISNUMBER(G35),ISNUMBER(G38)),G34-G31-G35-G38,"n.a.")</x:f>
        <x:v>50470.652799999996</x:v>
      </x:c>
      <x:c r="H36" s="59" t="n">
        <x:f>IF(AND(ISNUMBER(H34),ISNUMBER(H31),ISNUMBER(H35),ISNUMBER(H38)),H34-H31-H35-H38,"n.a.")</x:f>
        <x:v>44101.788799999995</x:v>
      </x:c>
      <x:c r="I36" s="59" t="n">
        <x:f>IF(AND(ISNUMBER(I34),ISNUMBER(I31),ISNUMBER(I35),ISNUMBER(I38)),I34-I31-I35-I38,"n.a.")</x:f>
        <x:v>65278.2616</x:v>
      </x:c>
      <x:c r="J36" s="59" t="n">
        <x:f>IF(AND(ISNUMBER(J34),ISNUMBER(J31),ISNUMBER(J35),ISNUMBER(J38)),J34-J31-J35-J38,"n.a.")</x:f>
        <x:v>2570.3899999999994</x:v>
      </x:c>
      <x:c r="K36" s="59" t="n">
        <x:f>IF(AND(ISNUMBER(K34),ISNUMBER(K31),ISNUMBER(K35),ISNUMBER(K38)),K34-K31-K35-K38,"n.a.")</x:f>
        <x:v>89957.6096</x:v>
      </x:c>
      <x:c r="L36" s="59" t="n">
        <x:f>IF(AND(ISNUMBER(L34),ISNUMBER(L31),ISNUMBER(L35),ISNUMBER(L38)),L34-L31-L35-L38,"n.a.")</x:f>
        <x:v>98953.63</x:v>
      </x:c>
      <x:c r="M36" s="59" t="n">
        <x:f>IF(AND(ISNUMBER(M34),ISNUMBER(M31),ISNUMBER(M35),ISNUMBER(M38)),M34-M31-M35-M38,"n.a.")</x:f>
        <x:v>104493.00870744197</x:v>
      </x:c>
      <x:c r="N36" s="59" t="n">
        <x:f>IF(AND(ISNUMBER(N34),ISNUMBER(N31),ISNUMBER(N35),ISNUMBER(N38)),N34-N31-N35-N38,"n.a.")</x:f>
        <x:v>100791.10650744193</x:v>
      </x:c>
      <x:c r="O36" s="59" t="n">
        <x:f>IF(AND(ISNUMBER(O34),ISNUMBER(O31),ISNUMBER(O35),ISNUMBER(O38)),O34-O31-O35-O38,"n.a.")</x:f>
        <x:v>85386.41670744197</x:v>
      </x:c>
      <x:c r="P36" s="59" t="n">
        <x:f>IF(AND(ISNUMBER(P34),ISNUMBER(P31),ISNUMBER(P35),ISNUMBER(P38)),P34-P31-P35-P38,"n.a.")</x:f>
        <x:v>79813.66070744197</x:v>
      </x:c>
      <x:c r="Q36" s="59" t="n">
        <x:f>IF(AND(ISNUMBER(Q34),ISNUMBER(Q31),ISNUMBER(Q35),ISNUMBER(Q38)),Q34-Q31-Q35-Q38,"n.a.")</x:f>
        <x:v>55532.36670744196</x:v>
      </x:c>
      <x:c r="R36" s="59" t="n">
        <x:f>IF(AND(ISNUMBER(R34),ISNUMBER(R31),ISNUMBER(R35),ISNUMBER(R38)),R34-R31-R35-R38,"n.a.")</x:f>
        <x:v>52666.377907441965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60" t="n">
        <x:f>IF(AND(ISNUMBER('Assumptions'!$D$22),ISNUMBER(G36)),'Assumptions'!$D$22+G36,"n.a.")</x:f>
        <x:v>200470.65279999998</x:v>
      </x:c>
      <x:c r="H37" s="59" t="n">
        <x:f>IF(AND(ISNUMBER(G37),ISNUMBER(H36)),G37+H36,"n.a.")</x:f>
        <x:v>244572.44159999996</x:v>
      </x:c>
      <x:c r="I37" s="59" t="n">
        <x:f>IF(AND(ISNUMBER(H37),ISNUMBER(I36)),H37+I36,"n.a.")</x:f>
        <x:v>309850.7032</x:v>
      </x:c>
      <x:c r="J37" s="59" t="n">
        <x:f>IF(AND(ISNUMBER(I37),ISNUMBER(J36)),I37+J36,"n.a.")</x:f>
        <x:v>312421.0932</x:v>
      </x:c>
      <x:c r="K37" s="59" t="n">
        <x:f>IF(AND(ISNUMBER(J37),ISNUMBER(K36)),J37+K36,"n.a.")</x:f>
        <x:v>402378.70279999997</x:v>
      </x:c>
      <x:c r="L37" s="59" t="n">
        <x:f>IF(AND(ISNUMBER(K37),ISNUMBER(L36)),K37+L36,"n.a.")</x:f>
        <x:v>501332.3328</x:v>
      </x:c>
      <x:c r="M37" s="59" t="n">
        <x:f>IF(AND(ISNUMBER(L37),ISNUMBER(M36)),L37+M36,"n.a.")</x:f>
        <x:v>605825.341507442</x:v>
      </x:c>
      <x:c r="N37" s="59" t="n">
        <x:f>IF(AND(ISNUMBER(M37),ISNUMBER(N36)),M37+N36,"n.a.")</x:f>
        <x:v>706616.4480148839</x:v>
      </x:c>
      <x:c r="O37" s="59" t="n">
        <x:f>IF(AND(ISNUMBER(N37),ISNUMBER(O36)),N37+O36,"n.a.")</x:f>
        <x:v>792002.8647223259</x:v>
      </x:c>
      <x:c r="P37" s="59" t="n">
        <x:f>IF(AND(ISNUMBER(O37),ISNUMBER(P36)),O37+P36,"n.a.")</x:f>
        <x:v>871816.5254297679</x:v>
      </x:c>
      <x:c r="Q37" s="59" t="n">
        <x:f>IF(AND(ISNUMBER(P37),ISNUMBER(Q36)),P37+Q36,"n.a.")</x:f>
        <x:v>927348.8921372099</x:v>
      </x:c>
      <x:c r="R37" s="59" t="n">
        <x:f>IF(AND(ISNUMBER(Q37),ISNUMBER(R36)),Q37+R36,"n.a.")</x:f>
        <x:v>980015.2700446518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60" t="n">
        <x:f>IF(AND(ISNUMBER('Assumptions'!$D$40),ISNUMBER(G29),ISNUMBER(G32)),IF(1='Assumptions'!$D$40,G29-G32,0),"n.a.")</x:f>
        <x:v>0</x:v>
      </x:c>
      <x:c r="H38" s="60" t="n">
        <x:f>IF(AND(ISNUMBER('Assumptions'!$D$40),ISNUMBER(H29),ISNUMBER(H32)),IF(2='Assumptions'!$D$40,H29-H32,0),"n.a.")</x:f>
        <x:v>0</x:v>
      </x:c>
      <x:c r="I38" s="60" t="n">
        <x:f>IF(AND(ISNUMBER('Assumptions'!$D$40),ISNUMBER(I29),ISNUMBER(I32)),IF(3='Assumptions'!$D$40,I29-I32,0),"n.a.")</x:f>
        <x:v>0</x:v>
      </x:c>
      <x:c r="J38" s="60" t="n">
        <x:f>IF(AND(ISNUMBER('Assumptions'!$D$40),ISNUMBER(J29),ISNUMBER(J32)),IF(4='Assumptions'!$D$40,J29-J32,0),"n.a.")</x:f>
        <x:v>0</x:v>
      </x:c>
      <x:c r="K38" s="60" t="n">
        <x:f>IF(AND(ISNUMBER('Assumptions'!$D$40),ISNUMBER(K29),ISNUMBER(K32)),IF(5='Assumptions'!$D$40,K29-K32,0),"n.a.")</x:f>
        <x:v>0</x:v>
      </x:c>
      <x:c r="L38" s="60" t="n">
        <x:f>IF(AND(ISNUMBER('Assumptions'!$D$40),ISNUMBER(L29),ISNUMBER(L32)),IF(6='Assumptions'!$D$40,L29-L32,0),"n.a.")</x:f>
        <x:v>0</x:v>
      </x:c>
      <x:c r="M38" s="60" t="n">
        <x:f>IF(AND(ISNUMBER('Assumptions'!$D$40),ISNUMBER(M29),ISNUMBER(M32)),IF(7='Assumptions'!$D$40,M29-M32,0),"n.a.")</x:f>
        <x:v>0</x:v>
      </x:c>
      <x:c r="N38" s="60" t="n">
        <x:f>IF(AND(ISNUMBER('Assumptions'!$D$40),ISNUMBER(N29),ISNUMBER(N32)),IF(8='Assumptions'!$D$40,N29-N32,0),"n.a.")</x:f>
        <x:v>0</x:v>
      </x:c>
      <x:c r="O38" s="60" t="n">
        <x:f>IF(AND(ISNUMBER('Assumptions'!$D$40),ISNUMBER(O29),ISNUMBER(O32)),IF(9='Assumptions'!$D$40,O29-O32,0),"n.a.")</x:f>
        <x:v>0</x:v>
      </x:c>
      <x:c r="P38" s="60" t="n">
        <x:f>IF(AND(ISNUMBER('Assumptions'!$D$40),ISNUMBER(P29),ISNUMBER(P32)),IF(10='Assumptions'!$D$40,P29-P32,0),"n.a.")</x:f>
        <x:v>0</x:v>
      </x:c>
      <x:c r="Q38" s="60" t="n">
        <x:f>IF(AND(ISNUMBER('Assumptions'!$D$40),ISNUMBER(Q29),ISNUMBER(Q32)),IF(11='Assumptions'!$D$40,Q29-Q32,0),"n.a.")</x:f>
        <x:v>0</x:v>
      </x:c>
      <x:c r="R38" s="60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52" t="n">
        <x:f>IF(AND(ISNUMBER(G31),ISNUMBER(R31)),IF(COUNT(G31:R31)=12,SUM(G31:R31),"n.a."),"n.a.")</x:f>
        <x:v>284748.4757553481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61" t="n">
        <x:f>IF(AND(ISNUMBER(D43),ISNUMBER(D9)),IF(D43=0,"n.a.",D9/D43),"n.a.")</x:f>
        <x:v>4.274873614585582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52" t="n">
        <x:f>IF(AND(ISNUMBER(R33)),R33,"n.a.")</x:f>
        <x:v>3868325.299229816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52" t="n">
        <x:f>IF(AND(ISNUMBER(G37),ISNUMBER(R37)),IF(COUNT(G37:R37)=12,MAX(0,-MIN(G37:R37)),"n.a."),"n.a.")</x:f>
        <x:v>0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52" t="n">
        <x:f>IF(AND(ISNUMBER(D19),ISNUMBER(D46)),D19-D46,"n.a.")</x:f>
        <x:v>500000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52" t="n">
        <x:f>IF(AND(ISNUMBER(R37)),R37,"n.a.")</x:f>
        <x:v>980015.2700446518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70" t="n">
        <x:f>21-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70" t="n">
        <x:f>COUNTIFS('Site Nights'!N10:N21,"Missing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70" t="n">
        <x:f>IF(AND(ISNUMBER('Operations'!E19),ISNUMBER('Operations'!E14),ISNUMBER('Operations'!E18)),'Operations'!E19-'Operations'!E14+'Operations'!E18,"n.a.")</x:f>
        <x:v>-1.1641532182693481e-10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70" t="n">
        <x:f>IF(AND(ISNUMBER('Operations'!E21),ISNUMBER('Operations'!E19),ISNUMBER('Operations'!E20)),'Operations'!E21-'Operations'!E19+'Operations'!E20,"n.a.")</x:f>
        <x:v>5.093170329928398e-11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70" t="n">
        <x:f>IF(COUNT('Debt and Funding'!G32:R32)=12,'Debt and Funding'!D14-SUM('Debt and Funding'!G32:R32)-SUM('Debt and Funding'!G38:R38)-'Debt and Funding'!D45,"n.a.")</x:f>
        <x:v>4.656612873077393e-10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70" t="n">
        <x:f>IF(COUNT('Debt and Funding'!G34:R36)=36,'Debt and Funding'!R37-'Assumptions'!$D$22-SUM('Debt and Funding'!G34:R34)+SUM('Debt and Funding'!G31:R31)+SUM('Debt and Funding'!G35:R35)+SUM('Debt and Funding'!G38:R38),"n.a.")</x:f>
        <x:v>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70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Calendar days drive site-nights. Occupancy is capped at100% after the activity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sensitivity.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 t="str">
        <x:v>Annual-site collections are separate from transient-site inventory. Do not include the</x:v>
      </x:c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same sites in both groups.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 t="str">
        <x:v>Closed-season months may have zero occupancy. Continuing fixed costs remain.</x:v>
      </x:c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 t="str">
        <x:v>Every numerical assumption is illustrative. No current market quote, legal conclusion or</x:v>
      </x:c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 t="str">
        <x:v>lender eligibility is represented.</x:v>
      </x:c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 t="str">
        <x:v>NCF is a modeled cash measure after cash reserve deposits. An actual lender may adjust</x:v>
      </x:c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 t="str">
        <x:v>income, expenses, reserves, tax and business cash differently.</x:v>
      </x:c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No tax return, appraisal, legal compliance, guaranty capacity or refinancing approval is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 t="str">
        <x:v>established by the calculations.</x:v>
      </x:c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 t="str">
        <x:v>Calculation methods and conventions are shown here. Check Review and replace</x:v>
      </x:c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 t="str">
        <x:v>illustrative inputs before relying on results.</x:v>
      </x:c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