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2e3fe280f4a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c9cc4530d47f4aa4"/>
    <x:sheet xmlns:r="http://schemas.openxmlformats.org/officeDocument/2006/relationships" name="Assumptions" sheetId="2" r:id="R6692377b7fd041b3"/>
    <x:sheet xmlns:r="http://schemas.openxmlformats.org/officeDocument/2006/relationships" name="Storage Activity" sheetId="3" r:id="R486aad1f5f714103"/>
    <x:sheet xmlns:r="http://schemas.openxmlformats.org/officeDocument/2006/relationships" name="Operations" sheetId="4" r:id="R2760c416ace949c2"/>
    <x:sheet xmlns:r="http://schemas.openxmlformats.org/officeDocument/2006/relationships" name="Debt and Funding" sheetId="5" r:id="R90e7587b15c0472b"/>
    <x:sheet xmlns:r="http://schemas.openxmlformats.org/officeDocument/2006/relationships" name="Review" sheetId="6" r:id="R01c7ead2566047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907dea9b64691" /><Relationship Type="http://schemas.openxmlformats.org/officeDocument/2006/relationships/theme" Target="/xl/theme/theme1.xml" Id="R57822a62a41b4a4e" /><Relationship Type="http://schemas.openxmlformats.org/officeDocument/2006/relationships/sharedStrings" Target="/xl/sharedStrings.xml" Id="R8615d40e735f44df" /><Relationship Type="http://schemas.openxmlformats.org/officeDocument/2006/relationships/worksheet" Target="/xl/worksheets/sheet1.xml" Id="Rc9cc4530d47f4aa4" /><Relationship Type="http://schemas.openxmlformats.org/officeDocument/2006/relationships/worksheet" Target="/xl/worksheets/sheet2.xml" Id="R6692377b7fd041b3" /><Relationship Type="http://schemas.openxmlformats.org/officeDocument/2006/relationships/worksheet" Target="/xl/worksheets/sheet3.xml" Id="R486aad1f5f714103" /><Relationship Type="http://schemas.openxmlformats.org/officeDocument/2006/relationships/worksheet" Target="/xl/worksheets/sheet4.xml" Id="R2760c416ace949c2" /><Relationship Type="http://schemas.openxmlformats.org/officeDocument/2006/relationships/worksheet" Target="/xl/worksheets/sheet5.xml" Id="R90e7587b15c0472b" /><Relationship Type="http://schemas.openxmlformats.org/officeDocument/2006/relationships/worksheet" Target="/xl/worksheets/sheet6.xml" Id="R01c7ead25660472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Self-storage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'Operations'!E12</x:f>
        <x:v>714960</x:v>
      </x:c>
      <x:c r="E10" s="2"/>
      <x:c r="F10" s="2"/>
      <x:c r="G10" s="70" t="n">
        <x:f>'Operations'!G9</x:f>
        <x:v>46388</x:v>
      </x:c>
      <x:c r="H10" s="71" t="n">
        <x:f>'Debt and Funding'!G36</x:f>
        <x:v>16207.599999999999</x:v>
      </x:c>
      <x:c r="I10" s="71" t="n">
        <x:f>'Debt and Funding'!G37</x:f>
        <x:v>166207.6</x:v>
      </x:c>
      <x:c r="J10" s="71" t="n">
        <x:f>'Debt and Funding'!G33</x:f>
        <x:v>3900000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'Operations'!E16</x:f>
        <x:v>227520</x:v>
      </x:c>
      <x:c r="E11" s="2"/>
      <x:c r="F11" s="2"/>
      <x:c r="G11" s="70" t="n">
        <x:f>'Operations'!H9</x:f>
        <x:v>46419</x:v>
      </x:c>
      <x:c r="H11" s="71" t="n">
        <x:f>'Debt and Funding'!H36</x:f>
        <x:v>16207.599999999999</x:v>
      </x:c>
      <x:c r="I11" s="71" t="n">
        <x:f>'Debt and Funding'!H37</x:f>
        <x:v>182415.2</x:v>
      </x:c>
      <x:c r="J11" s="71" t="n">
        <x:f>'Debt and Funding'!H33</x:f>
        <x:v>3900000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'Operations'!E17</x:f>
        <x:v>487440</x:v>
      </x:c>
      <x:c r="E12" s="2"/>
      <x:c r="F12" s="2"/>
      <x:c r="G12" s="70" t="n">
        <x:f>'Operations'!I9</x:f>
        <x:v>46447</x:v>
      </x:c>
      <x:c r="H12" s="71" t="n">
        <x:f>'Debt and Funding'!I36</x:f>
        <x:v>16207.599999999999</x:v>
      </x:c>
      <x:c r="I12" s="71" t="n">
        <x:f>'Debt and Funding'!I37</x:f>
        <x:v>198622.80000000002</x:v>
      </x:c>
      <x:c r="J12" s="71" t="n">
        <x:f>'Debt and Funding'!I33</x:f>
        <x:v>3900000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'Operations'!E18</x:f>
        <x:v>21448.800000000003</x:v>
      </x:c>
      <x:c r="E13" s="2"/>
      <x:c r="F13" s="2"/>
      <x:c r="G13" s="70" t="n">
        <x:f>'Operations'!J9</x:f>
        <x:v>46478</x:v>
      </x:c>
      <x:c r="H13" s="71" t="n">
        <x:f>'Debt and Funding'!J36</x:f>
        <x:v>16207.599999999999</x:v>
      </x:c>
      <x:c r="I13" s="71" t="n">
        <x:f>'Debt and Funding'!J37</x:f>
        <x:v>214830.40000000002</x:v>
      </x:c>
      <x:c r="J13" s="71" t="n">
        <x:f>'Debt and Funding'!J33</x:f>
        <x:v>3900000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'Operations'!E19</x:f>
        <x:v>465991.1999999999</x:v>
      </x:c>
      <x:c r="E14" s="2"/>
      <x:c r="F14" s="2"/>
      <x:c r="G14" s="70" t="n">
        <x:f>'Operations'!K9</x:f>
        <x:v>46508</x:v>
      </x:c>
      <x:c r="H14" s="71" t="n">
        <x:f>'Debt and Funding'!K36</x:f>
        <x:v>16207.599999999999</x:v>
      </x:c>
      <x:c r="I14" s="71" t="n">
        <x:f>'Debt and Funding'!K37</x:f>
        <x:v>231038.00000000003</x:v>
      </x:c>
      <x:c r="J14" s="71" t="n">
        <x:f>'Debt and Funding'!K33</x:f>
        <x:v>3900000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465991.1999999999</x:v>
      </x:c>
      <x:c r="E15" s="2"/>
      <x:c r="F15" s="2"/>
      <x:c r="G15" s="70" t="n">
        <x:f>'Operations'!L9</x:f>
        <x:v>46539</x:v>
      </x:c>
      <x:c r="H15" s="71" t="n">
        <x:f>'Debt and Funding'!L36</x:f>
        <x:v>16207.599999999999</x:v>
      </x:c>
      <x:c r="I15" s="71" t="n">
        <x:f>'Debt and Funding'!L37</x:f>
        <x:v>247245.60000000003</x:v>
      </x:c>
      <x:c r="J15" s="71" t="n">
        <x:f>'Debt and Funding'!L33</x:f>
        <x:v>3900000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4600970.158254158</x:v>
      </x:c>
      <x:c r="E16" s="2"/>
      <x:c r="F16" s="2"/>
      <x:c r="G16" s="70" t="n">
        <x:f>'Operations'!M9</x:f>
        <x:v>46569</x:v>
      </x:c>
      <x:c r="H16" s="71" t="n">
        <x:f>'Debt and Funding'!M36</x:f>
        <x:v>10999.520707441974</x:v>
      </x:c>
      <x:c r="I16" s="71" t="n">
        <x:f>'Debt and Funding'!M37</x:f>
        <x:v>258245.120707442</x:v>
      </x:c>
      <x:c r="J16" s="71" t="n">
        <x:f>'Debt and Funding'!M33</x:f>
        <x:v>3894791.920707442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3900000</x:v>
      </x:c>
      <x:c r="E17" s="2"/>
      <x:c r="F17" s="2"/>
      <x:c r="G17" s="70" t="n">
        <x:f>'Operations'!N9</x:f>
        <x:v>46600</x:v>
      </x:c>
      <x:c r="H17" s="71" t="n">
        <x:f>'Debt and Funding'!N36</x:f>
        <x:v>10999.520707441974</x:v>
      </x:c>
      <x:c r="I17" s="71" t="n">
        <x:f>'Debt and Funding'!N37</x:f>
        <x:v>269244.64141488395</x:v>
      </x:c>
      <x:c r="J17" s="71" t="n">
        <x:f>'Debt and Funding'!N33</x:f>
        <x:v>3889555.6309853825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5177679.999999999</x:v>
      </x:c>
      <x:c r="E18" s="2"/>
      <x:c r="F18" s="2"/>
      <x:c r="G18" s="70" t="n">
        <x:f>'Operations'!O9</x:f>
        <x:v>46631</x:v>
      </x:c>
      <x:c r="H18" s="71" t="n">
        <x:f>'Debt and Funding'!O36</x:f>
        <x:v>-57500.479292558026</x:v>
      </x:c>
      <x:c r="I18" s="71" t="n">
        <x:f>'Debt and Funding'!O37</x:f>
        <x:v>211744.1621223259</x:v>
      </x:c>
      <x:c r="J18" s="71" t="n">
        <x:f>'Debt and Funding'!O33</x:f>
        <x:v>3884290.9780273284</x:v>
      </x:c>
      <x:c r="K18" s="2"/>
      <x:c r="L18" s="2"/>
    </x:row>
    <x:row r="19" ht="21" customHeight="1">
      <x:c r="A19" s="2"/>
      <x:c r="B19" s="2"/>
      <x:c r="C19" s="57" t="str">
        <x:v>Sized loan</x:v>
      </x:c>
      <x:c r="D19" s="67" t="n">
        <x:f>'Debt and Funding'!D14</x:f>
        <x:v>3900000</x:v>
      </x:c>
      <x:c r="E19" s="2"/>
      <x:c r="F19" s="2"/>
      <x:c r="G19" s="70" t="n">
        <x:f>'Operations'!P9</x:f>
        <x:v>46661</x:v>
      </x:c>
      <x:c r="H19" s="71" t="n">
        <x:f>'Debt and Funding'!P36</x:f>
        <x:v>10999.520707441974</x:v>
      </x:c>
      <x:c r="I19" s="71" t="n">
        <x:f>'Debt and Funding'!P37</x:f>
        <x:v>222743.68282976787</x:v>
      </x:c>
      <x:c r="J19" s="71" t="n">
        <x:f>'Debt and Funding'!P33</x:f>
        <x:v>3878997.808199085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8" t="str">
        <x:f>'Debt and Funding'!D15</x:f>
        <x:v>LTV</x:v>
      </x:c>
      <x:c r="E20" s="2"/>
      <x:c r="F20" s="2"/>
      <x:c r="G20" s="70" t="n">
        <x:f>'Operations'!Q9</x:f>
        <x:v>46692</x:v>
      </x:c>
      <x:c r="H20" s="71" t="n">
        <x:f>'Debt and Funding'!Q36</x:f>
        <x:v>10999.520707441974</x:v>
      </x:c>
      <x:c r="I20" s="71" t="n">
        <x:f>'Debt and Funding'!Q37</x:f>
        <x:v>233743.20353720983</x:v>
      </x:c>
      <x:c r="J20" s="71" t="n">
        <x:f>'Debt and Funding'!Q33</x:f>
        <x:v>3873675.967034272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284748.4757553481</x:v>
      </x:c>
      <x:c r="E21" s="2"/>
      <x:c r="F21" s="2"/>
      <x:c r="G21" s="70" t="n">
        <x:f>'Operations'!R9</x:f>
        <x:v>46722</x:v>
      </x:c>
      <x:c r="H21" s="71" t="n">
        <x:f>'Debt and Funding'!R36</x:f>
        <x:v>10999.520707441974</x:v>
      </x:c>
      <x:c r="I21" s="71" t="n">
        <x:f>'Debt and Funding'!R37</x:f>
        <x:v>244742.7242446518</x:v>
      </x:c>
      <x:c r="J21" s="71" t="n">
        <x:f>'Debt and Funding'!R33</x:f>
        <x:v>3868325.299229816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9" t="n">
        <x:f>'Debt and Funding'!D44</x:f>
        <x:v>1.636501121784311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2000000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500000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7" t="str">
        <x:v>Sponsor cash after all modeled needs</x:v>
      </x:c>
      <x:c r="D26" s="67" t="n">
        <x:f>'Debt and Funding'!D47</x:f>
        <x:v>500000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3868325.299229816</x:v>
      </x:c>
      <x:c r="E27" s="2"/>
      <x:c r="F27" s="2"/>
      <x:c r="G27" s="2" t="str">
        <x:v>Edit blue cells in Storage Activity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3574327.7897744942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Paying occupancy is economic occupancy after bad debt. Promotions are separate only if not already embedded in paying occupancy or unit rents. Climate and standard units retain separate pricing.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21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2"/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21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2"/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21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</x:sheetData>
  <x:dataValidations count="44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Storage Activity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Standard units</x:v>
      </x:c>
      <x:c r="E9" s="21" t="str">
        <x:v>Standard rent / month</x:v>
      </x:c>
      <x:c r="F9" s="21" t="str">
        <x:v>Climate units</x:v>
      </x:c>
      <x:c r="G9" s="21" t="str">
        <x:v>Climate rent / month</x:v>
      </x:c>
      <x:c r="H9" s="21" t="str">
        <x:v>Paying occupancy</x:v>
      </x:c>
      <x:c r="I9" s="21" t="str">
        <x:v>Promotions / month</x:v>
      </x:c>
      <x:c r="J9" s="21" t="str">
        <x:v>Ancillary collections</x:v>
      </x:c>
      <x:c r="K9" s="21" t="str">
        <x:v>Service cost / occupied unit</x:v>
      </x:c>
      <x:c r="L9" s="21" t="str">
        <x:v>Capital work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300</x:v>
      </x:c>
      <x:c r="E10" s="27" t="n">
        <x:v>110</x:v>
      </x:c>
      <x:c r="F10" s="16" t="n">
        <x:v>200</x:v>
      </x:c>
      <x:c r="G10" s="27" t="n">
        <x:v>165</x:v>
      </x:c>
      <x:c r="H10" s="30" t="n">
        <x:v>0.88</x:v>
      </x:c>
      <x:c r="I10" s="27" t="n">
        <x:v>2500</x:v>
      </x:c>
      <x:c r="J10" s="27" t="n">
        <x:v>4000</x:v>
      </x:c>
      <x:c r="K10" s="27" t="n">
        <x:v>9</x:v>
      </x:c>
      <x:c r="L10" s="27" t="n">
        <x:v>1500</x:v>
      </x:c>
      <x:c r="M10" s="2"/>
      <x:c r="N10" s="13" t="str">
        <x:f>IF(AND(IF(ISNUMBER(D10),AND(D10&gt;=0,D10&lt;=1000000000000),FALSE),IF(ISNUMBER(E10),AND(E10&gt;=0,E10&lt;=1000000000000),FALSE),IF(ISNUMBER(F10),AND(F10&gt;=0,F10&lt;=1000000000000),FALSE),IF(ISNUMBER(G10),AND(G10&gt;=0,G10&lt;=1000000000000),FALSE),IF(ISNUMBER(H10),AND(H10&gt;=0,H10&lt;=1)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300</x:v>
      </x:c>
      <x:c r="E11" s="27" t="n">
        <x:v>110</x:v>
      </x:c>
      <x:c r="F11" s="16" t="n">
        <x:v>200</x:v>
      </x:c>
      <x:c r="G11" s="27" t="n">
        <x:v>165</x:v>
      </x:c>
      <x:c r="H11" s="30" t="n">
        <x:v>0.88</x:v>
      </x:c>
      <x:c r="I11" s="27" t="n">
        <x:v>2500</x:v>
      </x:c>
      <x:c r="J11" s="27" t="n">
        <x:v>4000</x:v>
      </x:c>
      <x:c r="K11" s="27" t="n">
        <x:v>9</x:v>
      </x:c>
      <x:c r="L11" s="27" t="n">
        <x:v>1500</x:v>
      </x:c>
      <x:c r="M11" s="2"/>
      <x:c r="N11" s="13" t="str">
        <x:f>IF(AND(IF(ISNUMBER(D11),AND(D11&gt;=0,D11&lt;=1000000000000),FALSE),IF(ISNUMBER(E11),AND(E11&gt;=0,E11&lt;=1000000000000),FALSE),IF(ISNUMBER(F11),AND(F11&gt;=0,F11&lt;=1000000000000),FALSE),IF(ISNUMBER(G11),AND(G11&gt;=0,G11&lt;=1000000000000),FALSE),IF(ISNUMBER(H11),AND(H11&gt;=0,H11&lt;=1)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300</x:v>
      </x:c>
      <x:c r="E12" s="27" t="n">
        <x:v>110</x:v>
      </x:c>
      <x:c r="F12" s="16" t="n">
        <x:v>200</x:v>
      </x:c>
      <x:c r="G12" s="27" t="n">
        <x:v>165</x:v>
      </x:c>
      <x:c r="H12" s="30" t="n">
        <x:v>0.88</x:v>
      </x:c>
      <x:c r="I12" s="27" t="n">
        <x:v>2500</x:v>
      </x:c>
      <x:c r="J12" s="27" t="n">
        <x:v>4000</x:v>
      </x:c>
      <x:c r="K12" s="27" t="n">
        <x:v>9</x:v>
      </x:c>
      <x:c r="L12" s="27" t="n">
        <x:v>1500</x:v>
      </x:c>
      <x:c r="M12" s="2"/>
      <x:c r="N12" s="13" t="str">
        <x:f>IF(AND(IF(ISNUMBER(D12),AND(D12&gt;=0,D12&lt;=1000000000000),FALSE),IF(ISNUMBER(E12),AND(E12&gt;=0,E12&lt;=1000000000000),FALSE),IF(ISNUMBER(F12),AND(F12&gt;=0,F12&lt;=1000000000000),FALSE),IF(ISNUMBER(G12),AND(G12&gt;=0,G12&lt;=1000000000000),FALSE),IF(ISNUMBER(H12),AND(H12&gt;=0,H12&lt;=1)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300</x:v>
      </x:c>
      <x:c r="E13" s="27" t="n">
        <x:v>110</x:v>
      </x:c>
      <x:c r="F13" s="16" t="n">
        <x:v>200</x:v>
      </x:c>
      <x:c r="G13" s="27" t="n">
        <x:v>165</x:v>
      </x:c>
      <x:c r="H13" s="30" t="n">
        <x:v>0.88</x:v>
      </x:c>
      <x:c r="I13" s="27" t="n">
        <x:v>2500</x:v>
      </x:c>
      <x:c r="J13" s="27" t="n">
        <x:v>4000</x:v>
      </x:c>
      <x:c r="K13" s="27" t="n">
        <x:v>9</x:v>
      </x:c>
      <x:c r="L13" s="27" t="n">
        <x:v>1500</x:v>
      </x:c>
      <x:c r="M13" s="2"/>
      <x:c r="N13" s="13" t="str">
        <x:f>IF(AND(IF(ISNUMBER(D13),AND(D13&gt;=0,D13&lt;=1000000000000),FALSE),IF(ISNUMBER(E13),AND(E13&gt;=0,E13&lt;=1000000000000),FALSE),IF(ISNUMBER(F13),AND(F13&gt;=0,F13&lt;=1000000000000),FALSE),IF(ISNUMBER(G13),AND(G13&gt;=0,G13&lt;=1000000000000),FALSE),IF(ISNUMBER(H13),AND(H13&gt;=0,H13&lt;=1)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300</x:v>
      </x:c>
      <x:c r="E14" s="27" t="n">
        <x:v>110</x:v>
      </x:c>
      <x:c r="F14" s="16" t="n">
        <x:v>200</x:v>
      </x:c>
      <x:c r="G14" s="27" t="n">
        <x:v>165</x:v>
      </x:c>
      <x:c r="H14" s="30" t="n">
        <x:v>0.88</x:v>
      </x:c>
      <x:c r="I14" s="27" t="n">
        <x:v>2500</x:v>
      </x:c>
      <x:c r="J14" s="27" t="n">
        <x:v>4000</x:v>
      </x:c>
      <x:c r="K14" s="27" t="n">
        <x:v>9</x:v>
      </x:c>
      <x:c r="L14" s="27" t="n">
        <x:v>1500</x:v>
      </x:c>
      <x:c r="M14" s="2"/>
      <x:c r="N14" s="13" t="str">
        <x:f>IF(AND(IF(ISNUMBER(D14),AND(D14&gt;=0,D14&lt;=1000000000000),FALSE),IF(ISNUMBER(E14),AND(E14&gt;=0,E14&lt;=1000000000000),FALSE),IF(ISNUMBER(F14),AND(F14&gt;=0,F14&lt;=1000000000000),FALSE),IF(ISNUMBER(G14),AND(G14&gt;=0,G14&lt;=1000000000000),FALSE),IF(ISNUMBER(H14),AND(H14&gt;=0,H14&lt;=1)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300</x:v>
      </x:c>
      <x:c r="E15" s="27" t="n">
        <x:v>110</x:v>
      </x:c>
      <x:c r="F15" s="16" t="n">
        <x:v>200</x:v>
      </x:c>
      <x:c r="G15" s="27" t="n">
        <x:v>165</x:v>
      </x:c>
      <x:c r="H15" s="30" t="n">
        <x:v>0.88</x:v>
      </x:c>
      <x:c r="I15" s="27" t="n">
        <x:v>2500</x:v>
      </x:c>
      <x:c r="J15" s="27" t="n">
        <x:v>4000</x:v>
      </x:c>
      <x:c r="K15" s="27" t="n">
        <x:v>9</x:v>
      </x:c>
      <x:c r="L15" s="27" t="n">
        <x:v>1500</x:v>
      </x:c>
      <x:c r="M15" s="2"/>
      <x:c r="N15" s="13" t="str">
        <x:f>IF(AND(IF(ISNUMBER(D15),AND(D15&gt;=0,D15&lt;=1000000000000),FALSE),IF(ISNUMBER(E15),AND(E15&gt;=0,E15&lt;=1000000000000),FALSE),IF(ISNUMBER(F15),AND(F15&gt;=0,F15&lt;=1000000000000),FALSE),IF(ISNUMBER(G15),AND(G15&gt;=0,G15&lt;=1000000000000),FALSE),IF(ISNUMBER(H15),AND(H15&gt;=0,H15&lt;=1)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300</x:v>
      </x:c>
      <x:c r="E16" s="27" t="n">
        <x:v>110</x:v>
      </x:c>
      <x:c r="F16" s="16" t="n">
        <x:v>200</x:v>
      </x:c>
      <x:c r="G16" s="27" t="n">
        <x:v>165</x:v>
      </x:c>
      <x:c r="H16" s="30" t="n">
        <x:v>0.88</x:v>
      </x:c>
      <x:c r="I16" s="27" t="n">
        <x:v>2500</x:v>
      </x:c>
      <x:c r="J16" s="27" t="n">
        <x:v>4000</x:v>
      </x:c>
      <x:c r="K16" s="27" t="n">
        <x:v>9</x:v>
      </x:c>
      <x:c r="L16" s="27" t="n">
        <x:v>1500</x:v>
      </x:c>
      <x:c r="M16" s="2"/>
      <x:c r="N16" s="13" t="str">
        <x:f>IF(AND(IF(ISNUMBER(D16),AND(D16&gt;=0,D16&lt;=1000000000000),FALSE),IF(ISNUMBER(E16),AND(E16&gt;=0,E16&lt;=1000000000000),FALSE),IF(ISNUMBER(F16),AND(F16&gt;=0,F16&lt;=1000000000000),FALSE),IF(ISNUMBER(G16),AND(G16&gt;=0,G16&lt;=1000000000000),FALSE),IF(ISNUMBER(H16),AND(H16&gt;=0,H16&lt;=1)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300</x:v>
      </x:c>
      <x:c r="E17" s="27" t="n">
        <x:v>110</x:v>
      </x:c>
      <x:c r="F17" s="16" t="n">
        <x:v>200</x:v>
      </x:c>
      <x:c r="G17" s="27" t="n">
        <x:v>165</x:v>
      </x:c>
      <x:c r="H17" s="30" t="n">
        <x:v>0.88</x:v>
      </x:c>
      <x:c r="I17" s="27" t="n">
        <x:v>2500</x:v>
      </x:c>
      <x:c r="J17" s="27" t="n">
        <x:v>4000</x:v>
      </x:c>
      <x:c r="K17" s="27" t="n">
        <x:v>9</x:v>
      </x:c>
      <x:c r="L17" s="27" t="n">
        <x:v>1500</x:v>
      </x:c>
      <x:c r="M17" s="2"/>
      <x:c r="N17" s="13" t="str">
        <x:f>IF(AND(IF(ISNUMBER(D17),AND(D17&gt;=0,D17&lt;=1000000000000),FALSE),IF(ISNUMBER(E17),AND(E17&gt;=0,E17&lt;=1000000000000),FALSE),IF(ISNUMBER(F17),AND(F17&gt;=0,F17&lt;=1000000000000),FALSE),IF(ISNUMBER(G17),AND(G17&gt;=0,G17&lt;=1000000000000),FALSE),IF(ISNUMBER(H17),AND(H17&gt;=0,H17&lt;=1)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300</x:v>
      </x:c>
      <x:c r="E18" s="27" t="n">
        <x:v>110</x:v>
      </x:c>
      <x:c r="F18" s="16" t="n">
        <x:v>200</x:v>
      </x:c>
      <x:c r="G18" s="27" t="n">
        <x:v>165</x:v>
      </x:c>
      <x:c r="H18" s="30" t="n">
        <x:v>0.88</x:v>
      </x:c>
      <x:c r="I18" s="27" t="n">
        <x:v>2500</x:v>
      </x:c>
      <x:c r="J18" s="27" t="n">
        <x:v>4000</x:v>
      </x:c>
      <x:c r="K18" s="27" t="n">
        <x:v>9</x:v>
      </x:c>
      <x:c r="L18" s="27" t="n">
        <x:v>70000</x:v>
      </x:c>
      <x:c r="M18" s="2"/>
      <x:c r="N18" s="13" t="str">
        <x:f>IF(AND(IF(ISNUMBER(D18),AND(D18&gt;=0,D18&lt;=1000000000000),FALSE),IF(ISNUMBER(E18),AND(E18&gt;=0,E18&lt;=1000000000000),FALSE),IF(ISNUMBER(F18),AND(F18&gt;=0,F18&lt;=1000000000000),FALSE),IF(ISNUMBER(G18),AND(G18&gt;=0,G18&lt;=1000000000000),FALSE),IF(ISNUMBER(H18),AND(H18&gt;=0,H18&lt;=1)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300</x:v>
      </x:c>
      <x:c r="E19" s="27" t="n">
        <x:v>110</x:v>
      </x:c>
      <x:c r="F19" s="16" t="n">
        <x:v>200</x:v>
      </x:c>
      <x:c r="G19" s="27" t="n">
        <x:v>165</x:v>
      </x:c>
      <x:c r="H19" s="30" t="n">
        <x:v>0.88</x:v>
      </x:c>
      <x:c r="I19" s="27" t="n">
        <x:v>2500</x:v>
      </x:c>
      <x:c r="J19" s="27" t="n">
        <x:v>4000</x:v>
      </x:c>
      <x:c r="K19" s="27" t="n">
        <x:v>9</x:v>
      </x:c>
      <x:c r="L19" s="27" t="n">
        <x:v>1500</x:v>
      </x:c>
      <x:c r="M19" s="2"/>
      <x:c r="N19" s="13" t="str">
        <x:f>IF(AND(IF(ISNUMBER(D19),AND(D19&gt;=0,D19&lt;=1000000000000),FALSE),IF(ISNUMBER(E19),AND(E19&gt;=0,E19&lt;=1000000000000),FALSE),IF(ISNUMBER(F19),AND(F19&gt;=0,F19&lt;=1000000000000),FALSE),IF(ISNUMBER(G19),AND(G19&gt;=0,G19&lt;=1000000000000),FALSE),IF(ISNUMBER(H19),AND(H19&gt;=0,H19&lt;=1)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300</x:v>
      </x:c>
      <x:c r="E20" s="27" t="n">
        <x:v>110</x:v>
      </x:c>
      <x:c r="F20" s="16" t="n">
        <x:v>200</x:v>
      </x:c>
      <x:c r="G20" s="27" t="n">
        <x:v>165</x:v>
      </x:c>
      <x:c r="H20" s="30" t="n">
        <x:v>0.88</x:v>
      </x:c>
      <x:c r="I20" s="27" t="n">
        <x:v>2500</x:v>
      </x:c>
      <x:c r="J20" s="27" t="n">
        <x:v>4000</x:v>
      </x:c>
      <x:c r="K20" s="27" t="n">
        <x:v>9</x:v>
      </x:c>
      <x:c r="L20" s="27" t="n">
        <x:v>1500</x:v>
      </x:c>
      <x:c r="M20" s="2"/>
      <x:c r="N20" s="13" t="str">
        <x:f>IF(AND(IF(ISNUMBER(D20),AND(D20&gt;=0,D20&lt;=1000000000000),FALSE),IF(ISNUMBER(E20),AND(E20&gt;=0,E20&lt;=1000000000000),FALSE),IF(ISNUMBER(F20),AND(F20&gt;=0,F20&lt;=1000000000000),FALSE),IF(ISNUMBER(G20),AND(G20&gt;=0,G20&lt;=1000000000000),FALSE),IF(ISNUMBER(H20),AND(H20&gt;=0,H20&lt;=1)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300</x:v>
      </x:c>
      <x:c r="E21" s="27" t="n">
        <x:v>110</x:v>
      </x:c>
      <x:c r="F21" s="16" t="n">
        <x:v>200</x:v>
      </x:c>
      <x:c r="G21" s="27" t="n">
        <x:v>165</x:v>
      </x:c>
      <x:c r="H21" s="30" t="n">
        <x:v>0.88</x:v>
      </x:c>
      <x:c r="I21" s="27" t="n">
        <x:v>2500</x:v>
      </x:c>
      <x:c r="J21" s="27" t="n">
        <x:v>4000</x:v>
      </x:c>
      <x:c r="K21" s="27" t="n">
        <x:v>9</x:v>
      </x:c>
      <x:c r="L21" s="27" t="n">
        <x:v>1500</x:v>
      </x:c>
      <x:c r="M21" s="2"/>
      <x:c r="N21" s="13" t="str">
        <x:f>IF(AND(IF(ISNUMBER(D21),AND(D21&gt;=0,D21&lt;=1000000000000),FALSE),IF(ISNUMBER(E21),AND(E21&gt;=0,E21&lt;=1000000000000),FALSE),IF(ISNUMBER(F21),AND(F21&gt;=0,F21&lt;=1000000000000),FALSE),IF(ISNUMBER(G21),AND(G21&gt;=0,G21&lt;=1000000000000),FALSE),IF(ISNUMBER(H21),AND(H21&gt;=0,H21&lt;=1)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Paying units</x:v>
      </x:c>
      <x:c r="D10" s="2" t="str">
        <x:v>units avg</x:v>
      </x:c>
      <x:c r="E10" s="49" t="n">
        <x:f>IF(COUNT(G10:R10)=12,AVERAGE(G10:R10),"n.a.")</x:f>
        <x:v>440</x:v>
      </x:c>
      <x:c r="F10" s="2"/>
      <x:c r="G10" s="48" t="n">
        <x:f>IF(AND('Storage Activity'!N10="OK"),IF(AND(ISNUMBER('Storage Activity'!$D$10),ISNUMBER('Storage Activity'!$F$10),ISNUMBER('Storage Activity'!$H$10),ISNUMBER('Assumptions'!$D$61)),('Storage Activity'!$D$10+'Storage Activity'!$F$10)*MIN(1,'Storage Activity'!$H$10*'Assumptions'!$D$61),"n.a."),"n.a.")</x:f>
        <x:v>440</x:v>
      </x:c>
      <x:c r="H10" s="48" t="n">
        <x:f>IF(AND('Storage Activity'!N11="OK"),IF(AND(ISNUMBER('Storage Activity'!$D$11),ISNUMBER('Storage Activity'!$F$11),ISNUMBER('Storage Activity'!$H$11),ISNUMBER('Assumptions'!$D$61)),('Storage Activity'!$D$11+'Storage Activity'!$F$11)*MIN(1,'Storage Activity'!$H$11*'Assumptions'!$D$61),"n.a."),"n.a.")</x:f>
        <x:v>440</x:v>
      </x:c>
      <x:c r="I10" s="48" t="n">
        <x:f>IF(AND('Storage Activity'!N12="OK"),IF(AND(ISNUMBER('Storage Activity'!$D$12),ISNUMBER('Storage Activity'!$F$12),ISNUMBER('Storage Activity'!$H$12),ISNUMBER('Assumptions'!$D$61)),('Storage Activity'!$D$12+'Storage Activity'!$F$12)*MIN(1,'Storage Activity'!$H$12*'Assumptions'!$D$61),"n.a."),"n.a.")</x:f>
        <x:v>440</x:v>
      </x:c>
      <x:c r="J10" s="48" t="n">
        <x:f>IF(AND('Storage Activity'!N13="OK"),IF(AND(ISNUMBER('Storage Activity'!$D$13),ISNUMBER('Storage Activity'!$F$13),ISNUMBER('Storage Activity'!$H$13),ISNUMBER('Assumptions'!$D$61)),('Storage Activity'!$D$13+'Storage Activity'!$F$13)*MIN(1,'Storage Activity'!$H$13*'Assumptions'!$D$61),"n.a."),"n.a.")</x:f>
        <x:v>440</x:v>
      </x:c>
      <x:c r="K10" s="48" t="n">
        <x:f>IF(AND('Storage Activity'!N14="OK"),IF(AND(ISNUMBER('Storage Activity'!$D$14),ISNUMBER('Storage Activity'!$F$14),ISNUMBER('Storage Activity'!$H$14),ISNUMBER('Assumptions'!$D$61)),('Storage Activity'!$D$14+'Storage Activity'!$F$14)*MIN(1,'Storage Activity'!$H$14*'Assumptions'!$D$61),"n.a."),"n.a.")</x:f>
        <x:v>440</x:v>
      </x:c>
      <x:c r="L10" s="48" t="n">
        <x:f>IF(AND('Storage Activity'!N15="OK"),IF(AND(ISNUMBER('Storage Activity'!$D$15),ISNUMBER('Storage Activity'!$F$15),ISNUMBER('Storage Activity'!$H$15),ISNUMBER('Assumptions'!$D$61)),('Storage Activity'!$D$15+'Storage Activity'!$F$15)*MIN(1,'Storage Activity'!$H$15*'Assumptions'!$D$61),"n.a."),"n.a.")</x:f>
        <x:v>440</x:v>
      </x:c>
      <x:c r="M10" s="48" t="n">
        <x:f>IF(AND('Storage Activity'!N16="OK"),IF(AND(ISNUMBER('Storage Activity'!$D$16),ISNUMBER('Storage Activity'!$F$16),ISNUMBER('Storage Activity'!$H$16),ISNUMBER('Assumptions'!$D$61)),('Storage Activity'!$D$16+'Storage Activity'!$F$16)*MIN(1,'Storage Activity'!$H$16*'Assumptions'!$D$61),"n.a."),"n.a.")</x:f>
        <x:v>440</x:v>
      </x:c>
      <x:c r="N10" s="48" t="n">
        <x:f>IF(AND('Storage Activity'!N17="OK"),IF(AND(ISNUMBER('Storage Activity'!$D$17),ISNUMBER('Storage Activity'!$F$17),ISNUMBER('Storage Activity'!$H$17),ISNUMBER('Assumptions'!$D$61)),('Storage Activity'!$D$17+'Storage Activity'!$F$17)*MIN(1,'Storage Activity'!$H$17*'Assumptions'!$D$61),"n.a."),"n.a.")</x:f>
        <x:v>440</x:v>
      </x:c>
      <x:c r="O10" s="48" t="n">
        <x:f>IF(AND('Storage Activity'!N18="OK"),IF(AND(ISNUMBER('Storage Activity'!$D$18),ISNUMBER('Storage Activity'!$F$18),ISNUMBER('Storage Activity'!$H$18),ISNUMBER('Assumptions'!$D$61)),('Storage Activity'!$D$18+'Storage Activity'!$F$18)*MIN(1,'Storage Activity'!$H$18*'Assumptions'!$D$61),"n.a."),"n.a.")</x:f>
        <x:v>440</x:v>
      </x:c>
      <x:c r="P10" s="48" t="n">
        <x:f>IF(AND('Storage Activity'!N19="OK"),IF(AND(ISNUMBER('Storage Activity'!$D$19),ISNUMBER('Storage Activity'!$F$19),ISNUMBER('Storage Activity'!$H$19),ISNUMBER('Assumptions'!$D$61)),('Storage Activity'!$D$19+'Storage Activity'!$F$19)*MIN(1,'Storage Activity'!$H$19*'Assumptions'!$D$61),"n.a."),"n.a.")</x:f>
        <x:v>440</x:v>
      </x:c>
      <x:c r="Q10" s="48" t="n">
        <x:f>IF(AND('Storage Activity'!N20="OK"),IF(AND(ISNUMBER('Storage Activity'!$D$20),ISNUMBER('Storage Activity'!$F$20),ISNUMBER('Storage Activity'!$H$20),ISNUMBER('Assumptions'!$D$61)),('Storage Activity'!$D$20+'Storage Activity'!$F$20)*MIN(1,'Storage Activity'!$H$20*'Assumptions'!$D$61),"n.a."),"n.a.")</x:f>
        <x:v>440</x:v>
      </x:c>
      <x:c r="R10" s="48" t="n">
        <x:f>IF(AND('Storage Activity'!N21="OK"),IF(AND(ISNUMBER('Storage Activity'!$D$21),ISNUMBER('Storage Activity'!$F$21),ISNUMBER('Storage Activity'!$H$21),ISNUMBER('Assumptions'!$D$61)),('Storage Activity'!$D$21+'Storage Activity'!$F$21)*MIN(1,'Storage Activity'!$H$21*'Assumptions'!$D$61),"n.a."),"n.a.")</x:f>
        <x:v>440</x:v>
      </x:c>
    </x:row>
    <x:row r="11" ht="21" customHeight="1">
      <x:c r="A11" s="2"/>
      <x:c r="B11" s="2"/>
      <x:c r="C11" s="2" t="str">
        <x:v>Gross standard and climate rent</x:v>
      </x:c>
      <x:c r="D11" s="2" t="str">
        <x:v>USD</x:v>
      </x:c>
      <x:c r="E11" s="52" t="n">
        <x:f>IF(COUNT(G11:R11)=12,SUM(G11:R11),"n.a.")</x:f>
        <x:v>792000</x:v>
      </x:c>
      <x:c r="F11" s="2"/>
      <x:c r="G11" s="51" t="n">
        <x:f>IF(AND('Storage Activity'!N10="OK"),IF(AND(ISNUMBER('Storage Activity'!$D$10),ISNUMBER('Storage Activity'!$E$10),ISNUMBER('Storage Activity'!$F$10),ISNUMBER('Storage Activity'!$G$10)),'Storage Activity'!$D$10*'Storage Activity'!$E$10+'Storage Activity'!$F$10*'Storage Activity'!$G$10,"n.a."),"n.a.")</x:f>
        <x:v>66000</x:v>
      </x:c>
      <x:c r="H11" s="51" t="n">
        <x:f>IF(AND('Storage Activity'!N11="OK"),IF(AND(ISNUMBER('Storage Activity'!$D$11),ISNUMBER('Storage Activity'!$E$11),ISNUMBER('Storage Activity'!$F$11),ISNUMBER('Storage Activity'!$G$11)),'Storage Activity'!$D$11*'Storage Activity'!$E$11+'Storage Activity'!$F$11*'Storage Activity'!$G$11,"n.a."),"n.a.")</x:f>
        <x:v>66000</x:v>
      </x:c>
      <x:c r="I11" s="51" t="n">
        <x:f>IF(AND('Storage Activity'!N12="OK"),IF(AND(ISNUMBER('Storage Activity'!$D$12),ISNUMBER('Storage Activity'!$E$12),ISNUMBER('Storage Activity'!$F$12),ISNUMBER('Storage Activity'!$G$12)),'Storage Activity'!$D$12*'Storage Activity'!$E$12+'Storage Activity'!$F$12*'Storage Activity'!$G$12,"n.a."),"n.a.")</x:f>
        <x:v>66000</x:v>
      </x:c>
      <x:c r="J11" s="51" t="n">
        <x:f>IF(AND('Storage Activity'!N13="OK"),IF(AND(ISNUMBER('Storage Activity'!$D$13),ISNUMBER('Storage Activity'!$E$13),ISNUMBER('Storage Activity'!$F$13),ISNUMBER('Storage Activity'!$G$13)),'Storage Activity'!$D$13*'Storage Activity'!$E$13+'Storage Activity'!$F$13*'Storage Activity'!$G$13,"n.a."),"n.a.")</x:f>
        <x:v>66000</x:v>
      </x:c>
      <x:c r="K11" s="51" t="n">
        <x:f>IF(AND('Storage Activity'!N14="OK"),IF(AND(ISNUMBER('Storage Activity'!$D$14),ISNUMBER('Storage Activity'!$E$14),ISNUMBER('Storage Activity'!$F$14),ISNUMBER('Storage Activity'!$G$14)),'Storage Activity'!$D$14*'Storage Activity'!$E$14+'Storage Activity'!$F$14*'Storage Activity'!$G$14,"n.a."),"n.a.")</x:f>
        <x:v>66000</x:v>
      </x:c>
      <x:c r="L11" s="51" t="n">
        <x:f>IF(AND('Storage Activity'!N15="OK"),IF(AND(ISNUMBER('Storage Activity'!$D$15),ISNUMBER('Storage Activity'!$E$15),ISNUMBER('Storage Activity'!$F$15),ISNUMBER('Storage Activity'!$G$15)),'Storage Activity'!$D$15*'Storage Activity'!$E$15+'Storage Activity'!$F$15*'Storage Activity'!$G$15,"n.a."),"n.a.")</x:f>
        <x:v>66000</x:v>
      </x:c>
      <x:c r="M11" s="51" t="n">
        <x:f>IF(AND('Storage Activity'!N16="OK"),IF(AND(ISNUMBER('Storage Activity'!$D$16),ISNUMBER('Storage Activity'!$E$16),ISNUMBER('Storage Activity'!$F$16),ISNUMBER('Storage Activity'!$G$16)),'Storage Activity'!$D$16*'Storage Activity'!$E$16+'Storage Activity'!$F$16*'Storage Activity'!$G$16,"n.a."),"n.a.")</x:f>
        <x:v>66000</x:v>
      </x:c>
      <x:c r="N11" s="51" t="n">
        <x:f>IF(AND('Storage Activity'!N17="OK"),IF(AND(ISNUMBER('Storage Activity'!$D$17),ISNUMBER('Storage Activity'!$E$17),ISNUMBER('Storage Activity'!$F$17),ISNUMBER('Storage Activity'!$G$17)),'Storage Activity'!$D$17*'Storage Activity'!$E$17+'Storage Activity'!$F$17*'Storage Activity'!$G$17,"n.a."),"n.a.")</x:f>
        <x:v>66000</x:v>
      </x:c>
      <x:c r="O11" s="51" t="n">
        <x:f>IF(AND('Storage Activity'!N18="OK"),IF(AND(ISNUMBER('Storage Activity'!$D$18),ISNUMBER('Storage Activity'!$E$18),ISNUMBER('Storage Activity'!$F$18),ISNUMBER('Storage Activity'!$G$18)),'Storage Activity'!$D$18*'Storage Activity'!$E$18+'Storage Activity'!$F$18*'Storage Activity'!$G$18,"n.a."),"n.a.")</x:f>
        <x:v>66000</x:v>
      </x:c>
      <x:c r="P11" s="51" t="n">
        <x:f>IF(AND('Storage Activity'!N19="OK"),IF(AND(ISNUMBER('Storage Activity'!$D$19),ISNUMBER('Storage Activity'!$E$19),ISNUMBER('Storage Activity'!$F$19),ISNUMBER('Storage Activity'!$G$19)),'Storage Activity'!$D$19*'Storage Activity'!$E$19+'Storage Activity'!$F$19*'Storage Activity'!$G$19,"n.a."),"n.a.")</x:f>
        <x:v>66000</x:v>
      </x:c>
      <x:c r="Q11" s="51" t="n">
        <x:f>IF(AND('Storage Activity'!N20="OK"),IF(AND(ISNUMBER('Storage Activity'!$D$20),ISNUMBER('Storage Activity'!$E$20),ISNUMBER('Storage Activity'!$F$20),ISNUMBER('Storage Activity'!$G$20)),'Storage Activity'!$D$20*'Storage Activity'!$E$20+'Storage Activity'!$F$20*'Storage Activity'!$G$20,"n.a."),"n.a.")</x:f>
        <x:v>66000</x:v>
      </x:c>
      <x:c r="R11" s="51" t="n">
        <x:f>IF(AND('Storage Activity'!N21="OK"),IF(AND(ISNUMBER('Storage Activity'!$D$21),ISNUMBER('Storage Activity'!$E$21),ISNUMBER('Storage Activity'!$F$21),ISNUMBER('Storage Activity'!$G$21)),'Storage Activity'!$D$21*'Storage Activity'!$E$21+'Storage Activity'!$F$21*'Storage Activity'!$G$21,"n.a."),"n.a.")</x:f>
        <x:v>66000</x:v>
      </x:c>
    </x:row>
    <x:row r="12" ht="21" customHeight="1">
      <x:c r="A12" s="2"/>
      <x:c r="B12" s="2"/>
      <x:c r="C12" s="57" t="str">
        <x:v>Paid rent, less promos, plus ancillary</x:v>
      </x:c>
      <x:c r="D12" s="57" t="str">
        <x:v>USD</x:v>
      </x:c>
      <x:c r="E12" s="58" t="n">
        <x:f>IF(COUNT(G12:R12)=12,SUM(G12:R12),"n.a.")</x:f>
        <x:v>714960</x:v>
      </x:c>
      <x:c r="F12" s="57"/>
      <x:c r="G12" s="59" t="n">
        <x:f>IF(AND('Storage Activity'!N10="OK"),IF(AND(ISNUMBER(G11),ISNUMBER('Storage Activity'!$H$10),ISNUMBER('Assumptions'!$D$61),ISNUMBER('Assumptions'!$D$64),ISNUMBER('Storage Activity'!$I$10),ISNUMBER('Storage Activity'!$J$10)),G11*MIN(1,'Storage Activity'!$H$10*'Assumptions'!$D$61)*'Assumptions'!$D$64-'Storage Activity'!$I$10+'Storage Activity'!$J$10,"n.a."),"n.a.")</x:f>
        <x:v>59580</x:v>
      </x:c>
      <x:c r="H12" s="59" t="n">
        <x:f>IF(AND('Storage Activity'!N11="OK"),IF(AND(ISNUMBER(H11),ISNUMBER('Storage Activity'!$H$11),ISNUMBER('Assumptions'!$D$61),ISNUMBER('Assumptions'!$D$64),ISNUMBER('Storage Activity'!$I$11),ISNUMBER('Storage Activity'!$J$11)),H11*MIN(1,'Storage Activity'!$H$11*'Assumptions'!$D$61)*'Assumptions'!$D$64-'Storage Activity'!$I$11+'Storage Activity'!$J$11,"n.a."),"n.a.")</x:f>
        <x:v>59580</x:v>
      </x:c>
      <x:c r="I12" s="59" t="n">
        <x:f>IF(AND('Storage Activity'!N12="OK"),IF(AND(ISNUMBER(I11),ISNUMBER('Storage Activity'!$H$12),ISNUMBER('Assumptions'!$D$61),ISNUMBER('Assumptions'!$D$64),ISNUMBER('Storage Activity'!$I$12),ISNUMBER('Storage Activity'!$J$12)),I11*MIN(1,'Storage Activity'!$H$12*'Assumptions'!$D$61)*'Assumptions'!$D$64-'Storage Activity'!$I$12+'Storage Activity'!$J$12,"n.a."),"n.a.")</x:f>
        <x:v>59580</x:v>
      </x:c>
      <x:c r="J12" s="59" t="n">
        <x:f>IF(AND('Storage Activity'!N13="OK"),IF(AND(ISNUMBER(J11),ISNUMBER('Storage Activity'!$H$13),ISNUMBER('Assumptions'!$D$61),ISNUMBER('Assumptions'!$D$64),ISNUMBER('Storage Activity'!$I$13),ISNUMBER('Storage Activity'!$J$13)),J11*MIN(1,'Storage Activity'!$H$13*'Assumptions'!$D$61)*'Assumptions'!$D$64-'Storage Activity'!$I$13+'Storage Activity'!$J$13,"n.a."),"n.a.")</x:f>
        <x:v>59580</x:v>
      </x:c>
      <x:c r="K12" s="59" t="n">
        <x:f>IF(AND('Storage Activity'!N14="OK"),IF(AND(ISNUMBER(K11),ISNUMBER('Storage Activity'!$H$14),ISNUMBER('Assumptions'!$D$61),ISNUMBER('Assumptions'!$D$64),ISNUMBER('Storage Activity'!$I$14),ISNUMBER('Storage Activity'!$J$14)),K11*MIN(1,'Storage Activity'!$H$14*'Assumptions'!$D$61)*'Assumptions'!$D$64-'Storage Activity'!$I$14+'Storage Activity'!$J$14,"n.a."),"n.a.")</x:f>
        <x:v>59580</x:v>
      </x:c>
      <x:c r="L12" s="59" t="n">
        <x:f>IF(AND('Storage Activity'!N15="OK"),IF(AND(ISNUMBER(L11),ISNUMBER('Storage Activity'!$H$15),ISNUMBER('Assumptions'!$D$61),ISNUMBER('Assumptions'!$D$64),ISNUMBER('Storage Activity'!$I$15),ISNUMBER('Storage Activity'!$J$15)),L11*MIN(1,'Storage Activity'!$H$15*'Assumptions'!$D$61)*'Assumptions'!$D$64-'Storage Activity'!$I$15+'Storage Activity'!$J$15,"n.a."),"n.a.")</x:f>
        <x:v>59580</x:v>
      </x:c>
      <x:c r="M12" s="59" t="n">
        <x:f>IF(AND('Storage Activity'!N16="OK"),IF(AND(ISNUMBER(M11),ISNUMBER('Storage Activity'!$H$16),ISNUMBER('Assumptions'!$D$61),ISNUMBER('Assumptions'!$D$64),ISNUMBER('Storage Activity'!$I$16),ISNUMBER('Storage Activity'!$J$16)),M11*MIN(1,'Storage Activity'!$H$16*'Assumptions'!$D$61)*'Assumptions'!$D$64-'Storage Activity'!$I$16+'Storage Activity'!$J$16,"n.a."),"n.a.")</x:f>
        <x:v>59580</x:v>
      </x:c>
      <x:c r="N12" s="59" t="n">
        <x:f>IF(AND('Storage Activity'!N17="OK"),IF(AND(ISNUMBER(N11),ISNUMBER('Storage Activity'!$H$17),ISNUMBER('Assumptions'!$D$61),ISNUMBER('Assumptions'!$D$64),ISNUMBER('Storage Activity'!$I$17),ISNUMBER('Storage Activity'!$J$17)),N11*MIN(1,'Storage Activity'!$H$17*'Assumptions'!$D$61)*'Assumptions'!$D$64-'Storage Activity'!$I$17+'Storage Activity'!$J$17,"n.a."),"n.a.")</x:f>
        <x:v>59580</x:v>
      </x:c>
      <x:c r="O12" s="59" t="n">
        <x:f>IF(AND('Storage Activity'!N18="OK"),IF(AND(ISNUMBER(O11),ISNUMBER('Storage Activity'!$H$18),ISNUMBER('Assumptions'!$D$61),ISNUMBER('Assumptions'!$D$64),ISNUMBER('Storage Activity'!$I$18),ISNUMBER('Storage Activity'!$J$18)),O11*MIN(1,'Storage Activity'!$H$18*'Assumptions'!$D$61)*'Assumptions'!$D$64-'Storage Activity'!$I$18+'Storage Activity'!$J$18,"n.a."),"n.a.")</x:f>
        <x:v>59580</x:v>
      </x:c>
      <x:c r="P12" s="59" t="n">
        <x:f>IF(AND('Storage Activity'!N19="OK"),IF(AND(ISNUMBER(P11),ISNUMBER('Storage Activity'!$H$19),ISNUMBER('Assumptions'!$D$61),ISNUMBER('Assumptions'!$D$64),ISNUMBER('Storage Activity'!$I$19),ISNUMBER('Storage Activity'!$J$19)),P11*MIN(1,'Storage Activity'!$H$19*'Assumptions'!$D$61)*'Assumptions'!$D$64-'Storage Activity'!$I$19+'Storage Activity'!$J$19,"n.a."),"n.a.")</x:f>
        <x:v>59580</x:v>
      </x:c>
      <x:c r="Q12" s="59" t="n">
        <x:f>IF(AND('Storage Activity'!N20="OK"),IF(AND(ISNUMBER(Q11),ISNUMBER('Storage Activity'!$H$20),ISNUMBER('Assumptions'!$D$61),ISNUMBER('Assumptions'!$D$64),ISNUMBER('Storage Activity'!$I$20),ISNUMBER('Storage Activity'!$J$20)),Q11*MIN(1,'Storage Activity'!$H$20*'Assumptions'!$D$61)*'Assumptions'!$D$64-'Storage Activity'!$I$20+'Storage Activity'!$J$20,"n.a."),"n.a.")</x:f>
        <x:v>59580</x:v>
      </x:c>
      <x:c r="R12" s="59" t="n">
        <x:f>IF(AND('Storage Activity'!N21="OK"),IF(AND(ISNUMBER(R11),ISNUMBER('Storage Activity'!$H$21),ISNUMBER('Assumptions'!$D$61),ISNUMBER('Assumptions'!$D$64),ISNUMBER('Storage Activity'!$I$21),ISNUMBER('Storage Activity'!$J$21)),R11*MIN(1,'Storage Activity'!$H$21*'Assumptions'!$D$61)*'Assumptions'!$D$64-'Storage Activity'!$I$21+'Storage Activity'!$J$21,"n.a."),"n.a.")</x:f>
        <x:v>59580</x:v>
      </x:c>
    </x:row>
    <x:row r="13" ht="21" customHeight="1">
      <x:c r="A13" s="2"/>
      <x:c r="B13" s="2"/>
      <x:c r="C13" s="2" t="str">
        <x:v>Occupied-unit servicing</x:v>
      </x:c>
      <x:c r="D13" s="2" t="str">
        <x:v>USD</x:v>
      </x:c>
      <x:c r="E13" s="52" t="n">
        <x:f>IF(COUNT(G13:R13)=12,SUM(G13:R13),"n.a.")</x:f>
        <x:v>47520</x:v>
      </x:c>
      <x:c r="F13" s="2"/>
      <x:c r="G13" s="51" t="n">
        <x:f>IF(AND('Storage Activity'!N10="OK"),IF(AND(ISNUMBER(G10),ISNUMBER('Storage Activity'!$K$10),ISNUMBER('Assumptions'!$D$67)),G10*'Storage Activity'!$K$10*'Assumptions'!$D$67,"n.a."),"n.a.")</x:f>
        <x:v>3960</x:v>
      </x:c>
      <x:c r="H13" s="51" t="n">
        <x:f>IF(AND('Storage Activity'!N11="OK"),IF(AND(ISNUMBER(H10),ISNUMBER('Storage Activity'!$K$11),ISNUMBER('Assumptions'!$D$67)),H10*'Storage Activity'!$K$11*'Assumptions'!$D$67,"n.a."),"n.a.")</x:f>
        <x:v>3960</x:v>
      </x:c>
      <x:c r="I13" s="51" t="n">
        <x:f>IF(AND('Storage Activity'!N12="OK"),IF(AND(ISNUMBER(I10),ISNUMBER('Storage Activity'!$K$12),ISNUMBER('Assumptions'!$D$67)),I10*'Storage Activity'!$K$12*'Assumptions'!$D$67,"n.a."),"n.a.")</x:f>
        <x:v>3960</x:v>
      </x:c>
      <x:c r="J13" s="51" t="n">
        <x:f>IF(AND('Storage Activity'!N13="OK"),IF(AND(ISNUMBER(J10),ISNUMBER('Storage Activity'!$K$13),ISNUMBER('Assumptions'!$D$67)),J10*'Storage Activity'!$K$13*'Assumptions'!$D$67,"n.a."),"n.a.")</x:f>
        <x:v>3960</x:v>
      </x:c>
      <x:c r="K13" s="51" t="n">
        <x:f>IF(AND('Storage Activity'!N14="OK"),IF(AND(ISNUMBER(K10),ISNUMBER('Storage Activity'!$K$14),ISNUMBER('Assumptions'!$D$67)),K10*'Storage Activity'!$K$14*'Assumptions'!$D$67,"n.a."),"n.a.")</x:f>
        <x:v>3960</x:v>
      </x:c>
      <x:c r="L13" s="51" t="n">
        <x:f>IF(AND('Storage Activity'!N15="OK"),IF(AND(ISNUMBER(L10),ISNUMBER('Storage Activity'!$K$15),ISNUMBER('Assumptions'!$D$67)),L10*'Storage Activity'!$K$15*'Assumptions'!$D$67,"n.a."),"n.a.")</x:f>
        <x:v>3960</x:v>
      </x:c>
      <x:c r="M13" s="51" t="n">
        <x:f>IF(AND('Storage Activity'!N16="OK"),IF(AND(ISNUMBER(M10),ISNUMBER('Storage Activity'!$K$16),ISNUMBER('Assumptions'!$D$67)),M10*'Storage Activity'!$K$16*'Assumptions'!$D$67,"n.a."),"n.a.")</x:f>
        <x:v>3960</x:v>
      </x:c>
      <x:c r="N13" s="51" t="n">
        <x:f>IF(AND('Storage Activity'!N17="OK"),IF(AND(ISNUMBER(N10),ISNUMBER('Storage Activity'!$K$17),ISNUMBER('Assumptions'!$D$67)),N10*'Storage Activity'!$K$17*'Assumptions'!$D$67,"n.a."),"n.a.")</x:f>
        <x:v>3960</x:v>
      </x:c>
      <x:c r="O13" s="51" t="n">
        <x:f>IF(AND('Storage Activity'!N18="OK"),IF(AND(ISNUMBER(O10),ISNUMBER('Storage Activity'!$K$18),ISNUMBER('Assumptions'!$D$67)),O10*'Storage Activity'!$K$18*'Assumptions'!$D$67,"n.a."),"n.a.")</x:f>
        <x:v>3960</x:v>
      </x:c>
      <x:c r="P13" s="51" t="n">
        <x:f>IF(AND('Storage Activity'!N19="OK"),IF(AND(ISNUMBER(P10),ISNUMBER('Storage Activity'!$K$19),ISNUMBER('Assumptions'!$D$67)),P10*'Storage Activity'!$K$19*'Assumptions'!$D$67,"n.a."),"n.a.")</x:f>
        <x:v>3960</x:v>
      </x:c>
      <x:c r="Q13" s="51" t="n">
        <x:f>IF(AND('Storage Activity'!N20="OK"),IF(AND(ISNUMBER(Q10),ISNUMBER('Storage Activity'!$K$20),ISNUMBER('Assumptions'!$D$67)),Q10*'Storage Activity'!$K$20*'Assumptions'!$D$67,"n.a."),"n.a.")</x:f>
        <x:v>3960</x:v>
      </x:c>
      <x:c r="R13" s="51" t="n">
        <x:f>IF(AND('Storage Activity'!N21="OK"),IF(AND(ISNUMBER(R10),ISNUMBER('Storage Activity'!$K$21),ISNUMBER('Assumptions'!$D$67)),R10*'Storage Activity'!$K$21*'Assumptions'!$D$67,"n.a."),"n.a.")</x:f>
        <x:v>3960</x:v>
      </x:c>
    </x:row>
    <x:row r="14" ht="21" customHeight="1">
      <x:c r="A14" s="2"/>
      <x:c r="B14" s="2"/>
      <x:c r="C14" s="2" t="str">
        <x:v>Gate, roof and unit capital</x:v>
      </x:c>
      <x:c r="D14" s="2" t="str">
        <x:v>USD</x:v>
      </x:c>
      <x:c r="E14" s="52" t="n">
        <x:f>IF(COUNT(G14:R14)=12,SUM(G14:R14),"n.a.")</x:f>
        <x:v>86500</x:v>
      </x:c>
      <x:c r="F14" s="2"/>
      <x:c r="G14" s="51" t="n">
        <x:f>IF(AND('Storage Activity'!N10="OK"),IF(AND(ISNUMBER('Storage Activity'!$L$10),ISNUMBER('Assumptions'!$D$70)),'Storage Activity'!$L$10*'Assumptions'!$D$70,"n.a."),"n.a.")</x:f>
        <x:v>1500</x:v>
      </x:c>
      <x:c r="H14" s="51" t="n">
        <x:f>IF(AND('Storage Activity'!N11="OK"),IF(AND(ISNUMBER('Storage Activity'!$L$11),ISNUMBER('Assumptions'!$D$70)),'Storage Activity'!$L$11*'Assumptions'!$D$70,"n.a."),"n.a.")</x:f>
        <x:v>1500</x:v>
      </x:c>
      <x:c r="I14" s="51" t="n">
        <x:f>IF(AND('Storage Activity'!N12="OK"),IF(AND(ISNUMBER('Storage Activity'!$L$12),ISNUMBER('Assumptions'!$D$70)),'Storage Activity'!$L$12*'Assumptions'!$D$70,"n.a."),"n.a.")</x:f>
        <x:v>1500</x:v>
      </x:c>
      <x:c r="J14" s="51" t="n">
        <x:f>IF(AND('Storage Activity'!N13="OK"),IF(AND(ISNUMBER('Storage Activity'!$L$13),ISNUMBER('Assumptions'!$D$70)),'Storage Activity'!$L$13*'Assumptions'!$D$70,"n.a."),"n.a.")</x:f>
        <x:v>1500</x:v>
      </x:c>
      <x:c r="K14" s="51" t="n">
        <x:f>IF(AND('Storage Activity'!N14="OK"),IF(AND(ISNUMBER('Storage Activity'!$L$14),ISNUMBER('Assumptions'!$D$70)),'Storage Activity'!$L$14*'Assumptions'!$D$70,"n.a."),"n.a.")</x:f>
        <x:v>1500</x:v>
      </x:c>
      <x:c r="L14" s="51" t="n">
        <x:f>IF(AND('Storage Activity'!N15="OK"),IF(AND(ISNUMBER('Storage Activity'!$L$15),ISNUMBER('Assumptions'!$D$70)),'Storage Activity'!$L$15*'Assumptions'!$D$70,"n.a."),"n.a.")</x:f>
        <x:v>1500</x:v>
      </x:c>
      <x:c r="M14" s="51" t="n">
        <x:f>IF(AND('Storage Activity'!N16="OK"),IF(AND(ISNUMBER('Storage Activity'!$L$16),ISNUMBER('Assumptions'!$D$70)),'Storage Activity'!$L$16*'Assumptions'!$D$70,"n.a."),"n.a.")</x:f>
        <x:v>1500</x:v>
      </x:c>
      <x:c r="N14" s="51" t="n">
        <x:f>IF(AND('Storage Activity'!N17="OK"),IF(AND(ISNUMBER('Storage Activity'!$L$17),ISNUMBER('Assumptions'!$D$70)),'Storage Activity'!$L$17*'Assumptions'!$D$70,"n.a."),"n.a.")</x:f>
        <x:v>1500</x:v>
      </x:c>
      <x:c r="O14" s="51" t="n">
        <x:f>IF(AND('Storage Activity'!N18="OK"),IF(AND(ISNUMBER('Storage Activity'!$L$18),ISNUMBER('Assumptions'!$D$70)),'Storage Activity'!$L$18*'Assumptions'!$D$70,"n.a."),"n.a.")</x:f>
        <x:v>70000</x:v>
      </x:c>
      <x:c r="P14" s="51" t="n">
        <x:f>IF(AND('Storage Activity'!N19="OK"),IF(AND(ISNUMBER('Storage Activity'!$L$19),ISNUMBER('Assumptions'!$D$70)),'Storage Activity'!$L$19*'Assumptions'!$D$70,"n.a."),"n.a.")</x:f>
        <x:v>1500</x:v>
      </x:c>
      <x:c r="Q14" s="51" t="n">
        <x:f>IF(AND('Storage Activity'!N20="OK"),IF(AND(ISNUMBER('Storage Activity'!$L$20),ISNUMBER('Assumptions'!$D$70)),'Storage Activity'!$L$20*'Assumptions'!$D$70,"n.a."),"n.a.")</x:f>
        <x:v>1500</x:v>
      </x:c>
      <x:c r="R14" s="51" t="n">
        <x:f>IF(AND('Storage Activity'!N21="OK"),IF(AND(ISNUMBER('Storage Activity'!$L$21),ISNUMBER('Assumptions'!$D$70)),'Storage Activity'!$L$21*'Assumptions'!$D$70,"n.a."),"n.a.")</x:f>
        <x:v>1500</x:v>
      </x:c>
    </x:row>
    <x:row r="15" ht="21" customHeight="1">
      <x:c r="A15" s="2"/>
      <x:c r="B15" s="2"/>
      <x:c r="C15" s="2" t="str">
        <x:v>Fixed property / entity costs</x:v>
      </x:c>
      <x:c r="D15" s="2" t="str">
        <x:v>USD</x:v>
      </x:c>
      <x:c r="E15" s="52" t="n">
        <x:f>IF(COUNT(G15:R15)=12,SUM(G15:R15),"n.a.")</x:f>
        <x:v>180000</x:v>
      </x:c>
      <x:c r="F15" s="2"/>
      <x:c r="G15" s="51" t="n">
        <x:f>IF(AND(ISNUMBER('Assumptions'!$D$55)),'Assumptions'!$D$55/12,"n.a.")</x:f>
        <x:v>15000</x:v>
      </x:c>
      <x:c r="H15" s="51" t="n">
        <x:f>IF(AND(ISNUMBER('Assumptions'!$D$55)),'Assumptions'!$D$55/12,"n.a.")</x:f>
        <x:v>15000</x:v>
      </x:c>
      <x:c r="I15" s="51" t="n">
        <x:f>IF(AND(ISNUMBER('Assumptions'!$D$55)),'Assumptions'!$D$55/12,"n.a.")</x:f>
        <x:v>15000</x:v>
      </x:c>
      <x:c r="J15" s="51" t="n">
        <x:f>IF(AND(ISNUMBER('Assumptions'!$D$55)),'Assumptions'!$D$55/12,"n.a.")</x:f>
        <x:v>15000</x:v>
      </x:c>
      <x:c r="K15" s="51" t="n">
        <x:f>IF(AND(ISNUMBER('Assumptions'!$D$55)),'Assumptions'!$D$55/12,"n.a.")</x:f>
        <x:v>15000</x:v>
      </x:c>
      <x:c r="L15" s="51" t="n">
        <x:f>IF(AND(ISNUMBER('Assumptions'!$D$55)),'Assumptions'!$D$55/12,"n.a.")</x:f>
        <x:v>15000</x:v>
      </x:c>
      <x:c r="M15" s="51" t="n">
        <x:f>IF(AND(ISNUMBER('Assumptions'!$D$55)),'Assumptions'!$D$55/12,"n.a.")</x:f>
        <x:v>15000</x:v>
      </x:c>
      <x:c r="N15" s="51" t="n">
        <x:f>IF(AND(ISNUMBER('Assumptions'!$D$55)),'Assumptions'!$D$55/12,"n.a.")</x:f>
        <x:v>15000</x:v>
      </x:c>
      <x:c r="O15" s="51" t="n">
        <x:f>IF(AND(ISNUMBER('Assumptions'!$D$55)),'Assumptions'!$D$55/12,"n.a.")</x:f>
        <x:v>15000</x:v>
      </x:c>
      <x:c r="P15" s="51" t="n">
        <x:f>IF(AND(ISNUMBER('Assumptions'!$D$55)),'Assumptions'!$D$55/12,"n.a.")</x:f>
        <x:v>15000</x:v>
      </x:c>
      <x:c r="Q15" s="51" t="n">
        <x:f>IF(AND(ISNUMBER('Assumptions'!$D$55)),'Assumptions'!$D$55/12,"n.a.")</x:f>
        <x:v>15000</x:v>
      </x:c>
      <x:c r="R15" s="51" t="n">
        <x:f>IF(AND(ISNUMBER('Assumptions'!$D$55)),'Assumptions'!$D$55/12,"n.a.")</x:f>
        <x:v>15000</x:v>
      </x:c>
    </x:row>
    <x:row r="16" ht="21" customHeight="1">
      <x:c r="A16" s="2"/>
      <x:c r="B16" s="2"/>
      <x:c r="C16" s="57" t="str">
        <x:v>Total cash operating costs</x:v>
      </x:c>
      <x:c r="D16" s="57" t="str">
        <x:v>USD</x:v>
      </x:c>
      <x:c r="E16" s="58" t="n">
        <x:f>IF(COUNT(G16:R16)=12,SUM(G16:R16),"n.a.")</x:f>
        <x:v>227520</x:v>
      </x:c>
      <x:c r="F16" s="57"/>
      <x:c r="G16" s="58" t="n">
        <x:f>IF(AND(ISNUMBER(G13),ISNUMBER(G15)),G13+G15,"n.a.")</x:f>
        <x:v>18960</x:v>
      </x:c>
      <x:c r="H16" s="58" t="n">
        <x:f>IF(AND(ISNUMBER(H13),ISNUMBER(H15)),H13+H15,"n.a.")</x:f>
        <x:v>18960</x:v>
      </x:c>
      <x:c r="I16" s="58" t="n">
        <x:f>IF(AND(ISNUMBER(I13),ISNUMBER(I15)),I13+I15,"n.a.")</x:f>
        <x:v>18960</x:v>
      </x:c>
      <x:c r="J16" s="58" t="n">
        <x:f>IF(AND(ISNUMBER(J13),ISNUMBER(J15)),J13+J15,"n.a.")</x:f>
        <x:v>18960</x:v>
      </x:c>
      <x:c r="K16" s="58" t="n">
        <x:f>IF(AND(ISNUMBER(K13),ISNUMBER(K15)),K13+K15,"n.a.")</x:f>
        <x:v>18960</x:v>
      </x:c>
      <x:c r="L16" s="58" t="n">
        <x:f>IF(AND(ISNUMBER(L13),ISNUMBER(L15)),L13+L15,"n.a.")</x:f>
        <x:v>18960</x:v>
      </x:c>
      <x:c r="M16" s="58" t="n">
        <x:f>IF(AND(ISNUMBER(M13),ISNUMBER(M15)),M13+M15,"n.a.")</x:f>
        <x:v>18960</x:v>
      </x:c>
      <x:c r="N16" s="58" t="n">
        <x:f>IF(AND(ISNUMBER(N13),ISNUMBER(N15)),N13+N15,"n.a.")</x:f>
        <x:v>18960</x:v>
      </x:c>
      <x:c r="O16" s="58" t="n">
        <x:f>IF(AND(ISNUMBER(O13),ISNUMBER(O15)),O13+O15,"n.a.")</x:f>
        <x:v>18960</x:v>
      </x:c>
      <x:c r="P16" s="58" t="n">
        <x:f>IF(AND(ISNUMBER(P13),ISNUMBER(P15)),P13+P15,"n.a.")</x:f>
        <x:v>18960</x:v>
      </x:c>
      <x:c r="Q16" s="58" t="n">
        <x:f>IF(AND(ISNUMBER(Q13),ISNUMBER(Q15)),Q13+Q15,"n.a.")</x:f>
        <x:v>18960</x:v>
      </x:c>
      <x:c r="R16" s="58" t="n">
        <x:f>IF(AND(ISNUMBER(R13),ISNUMBER(R15)),R13+R15,"n.a.")</x:f>
        <x:v>18960</x:v>
      </x:c>
    </x:row>
    <x:row r="17" ht="21" customHeight="1">
      <x:c r="A17" s="2"/>
      <x:c r="B17" s="2"/>
      <x:c r="C17" s="57" t="str">
        <x:v>NOI / operating cash before reserves</x:v>
      </x:c>
      <x:c r="D17" s="57" t="str">
        <x:v>USD</x:v>
      </x:c>
      <x:c r="E17" s="58" t="n">
        <x:f>IF(COUNT(G17:R17)=12,SUM(G17:R17),"n.a.")</x:f>
        <x:v>487440</x:v>
      </x:c>
      <x:c r="F17" s="57"/>
      <x:c r="G17" s="58" t="n">
        <x:f>IF(AND(ISNUMBER(G12),ISNUMBER(G16)),G12-G16,"n.a.")</x:f>
        <x:v>40620</x:v>
      </x:c>
      <x:c r="H17" s="58" t="n">
        <x:f>IF(AND(ISNUMBER(H12),ISNUMBER(H16)),H12-H16,"n.a.")</x:f>
        <x:v>40620</x:v>
      </x:c>
      <x:c r="I17" s="58" t="n">
        <x:f>IF(AND(ISNUMBER(I12),ISNUMBER(I16)),I12-I16,"n.a.")</x:f>
        <x:v>40620</x:v>
      </x:c>
      <x:c r="J17" s="58" t="n">
        <x:f>IF(AND(ISNUMBER(J12),ISNUMBER(J16)),J12-J16,"n.a.")</x:f>
        <x:v>40620</x:v>
      </x:c>
      <x:c r="K17" s="58" t="n">
        <x:f>IF(AND(ISNUMBER(K12),ISNUMBER(K16)),K12-K16,"n.a.")</x:f>
        <x:v>40620</x:v>
      </x:c>
      <x:c r="L17" s="58" t="n">
        <x:f>IF(AND(ISNUMBER(L12),ISNUMBER(L16)),L12-L16,"n.a.")</x:f>
        <x:v>40620</x:v>
      </x:c>
      <x:c r="M17" s="58" t="n">
        <x:f>IF(AND(ISNUMBER(M12),ISNUMBER(M16)),M12-M16,"n.a.")</x:f>
        <x:v>40620</x:v>
      </x:c>
      <x:c r="N17" s="58" t="n">
        <x:f>IF(AND(ISNUMBER(N12),ISNUMBER(N16)),N12-N16,"n.a.")</x:f>
        <x:v>40620</x:v>
      </x:c>
      <x:c r="O17" s="58" t="n">
        <x:f>IF(AND(ISNUMBER(O12),ISNUMBER(O16)),O12-O16,"n.a.")</x:f>
        <x:v>40620</x:v>
      </x:c>
      <x:c r="P17" s="58" t="n">
        <x:f>IF(AND(ISNUMBER(P12),ISNUMBER(P16)),P12-P16,"n.a.")</x:f>
        <x:v>40620</x:v>
      </x:c>
      <x:c r="Q17" s="58" t="n">
        <x:f>IF(AND(ISNUMBER(Q12),ISNUMBER(Q16)),Q12-Q16,"n.a.")</x:f>
        <x:v>40620</x:v>
      </x:c>
      <x:c r="R17" s="58" t="n">
        <x:f>IF(AND(ISNUMBER(R12),ISNUMBER(R16)),R12-R16,"n.a.")</x:f>
        <x:v>40620</x:v>
      </x:c>
    </x:row>
    <x:row r="18" ht="21" customHeight="1">
      <x:c r="A18" s="2"/>
      <x:c r="B18" s="2"/>
      <x:c r="C18" s="2" t="str">
        <x:v>Cash replacement reserve deposits</x:v>
      </x:c>
      <x:c r="D18" s="2" t="str">
        <x:v>USD</x:v>
      </x:c>
      <x:c r="E18" s="52" t="n">
        <x:f>IF(COUNT(G18:R18)=12,SUM(G18:R18),"n.a.")</x:f>
        <x:v>21448.800000000003</x:v>
      </x:c>
      <x:c r="F18" s="2"/>
      <x:c r="G18" s="51" t="n">
        <x:f>IF(AND(ISNUMBER(G12),ISNUMBER('Assumptions'!$D$58)),MAX(0,G12)*'Assumptions'!$D$58,"n.a.")</x:f>
        <x:v>1787.3999999999999</x:v>
      </x:c>
      <x:c r="H18" s="51" t="n">
        <x:f>IF(AND(ISNUMBER(H12),ISNUMBER('Assumptions'!$D$58)),MAX(0,H12)*'Assumptions'!$D$58,"n.a.")</x:f>
        <x:v>1787.3999999999999</x:v>
      </x:c>
      <x:c r="I18" s="51" t="n">
        <x:f>IF(AND(ISNUMBER(I12),ISNUMBER('Assumptions'!$D$58)),MAX(0,I12)*'Assumptions'!$D$58,"n.a.")</x:f>
        <x:v>1787.3999999999999</x:v>
      </x:c>
      <x:c r="J18" s="51" t="n">
        <x:f>IF(AND(ISNUMBER(J12),ISNUMBER('Assumptions'!$D$58)),MAX(0,J12)*'Assumptions'!$D$58,"n.a.")</x:f>
        <x:v>1787.3999999999999</x:v>
      </x:c>
      <x:c r="K18" s="51" t="n">
        <x:f>IF(AND(ISNUMBER(K12),ISNUMBER('Assumptions'!$D$58)),MAX(0,K12)*'Assumptions'!$D$58,"n.a.")</x:f>
        <x:v>1787.3999999999999</x:v>
      </x:c>
      <x:c r="L18" s="51" t="n">
        <x:f>IF(AND(ISNUMBER(L12),ISNUMBER('Assumptions'!$D$58)),MAX(0,L12)*'Assumptions'!$D$58,"n.a.")</x:f>
        <x:v>1787.3999999999999</x:v>
      </x:c>
      <x:c r="M18" s="51" t="n">
        <x:f>IF(AND(ISNUMBER(M12),ISNUMBER('Assumptions'!$D$58)),MAX(0,M12)*'Assumptions'!$D$58,"n.a.")</x:f>
        <x:v>1787.3999999999999</x:v>
      </x:c>
      <x:c r="N18" s="51" t="n">
        <x:f>IF(AND(ISNUMBER(N12),ISNUMBER('Assumptions'!$D$58)),MAX(0,N12)*'Assumptions'!$D$58,"n.a.")</x:f>
        <x:v>1787.3999999999999</x:v>
      </x:c>
      <x:c r="O18" s="51" t="n">
        <x:f>IF(AND(ISNUMBER(O12),ISNUMBER('Assumptions'!$D$58)),MAX(0,O12)*'Assumptions'!$D$58,"n.a.")</x:f>
        <x:v>1787.3999999999999</x:v>
      </x:c>
      <x:c r="P18" s="51" t="n">
        <x:f>IF(AND(ISNUMBER(P12),ISNUMBER('Assumptions'!$D$58)),MAX(0,P12)*'Assumptions'!$D$58,"n.a.")</x:f>
        <x:v>1787.3999999999999</x:v>
      </x:c>
      <x:c r="Q18" s="51" t="n">
        <x:f>IF(AND(ISNUMBER(Q12),ISNUMBER('Assumptions'!$D$58)),MAX(0,Q12)*'Assumptions'!$D$58,"n.a.")</x:f>
        <x:v>1787.3999999999999</x:v>
      </x:c>
      <x:c r="R18" s="51" t="n">
        <x:f>IF(AND(ISNUMBER(R12),ISNUMBER('Assumptions'!$D$58)),MAX(0,R12)*'Assumptions'!$D$58,"n.a.")</x:f>
        <x:v>1787.3999999999999</x:v>
      </x:c>
    </x:row>
    <x:row r="19" ht="21" customHeight="1">
      <x:c r="A19" s="2"/>
      <x:c r="B19" s="2"/>
      <x:c r="C19" s="57" t="str">
        <x:v>Cash NCF before property debt / capital</x:v>
      </x:c>
      <x:c r="D19" s="57" t="str">
        <x:v>USD</x:v>
      </x:c>
      <x:c r="E19" s="58" t="n">
        <x:f>IF(COUNT(G19:R19)=12,SUM(G19:R19),"n.a.")</x:f>
        <x:v>465991.1999999999</x:v>
      </x:c>
      <x:c r="F19" s="57"/>
      <x:c r="G19" s="58" t="n">
        <x:f>IF(AND(ISNUMBER(G17),ISNUMBER(G18)),G17-G18,"n.a.")</x:f>
        <x:v>38832.6</x:v>
      </x:c>
      <x:c r="H19" s="58" t="n">
        <x:f>IF(AND(ISNUMBER(H17),ISNUMBER(H18)),H17-H18,"n.a.")</x:f>
        <x:v>38832.6</x:v>
      </x:c>
      <x:c r="I19" s="58" t="n">
        <x:f>IF(AND(ISNUMBER(I17),ISNUMBER(I18)),I17-I18,"n.a.")</x:f>
        <x:v>38832.6</x:v>
      </x:c>
      <x:c r="J19" s="58" t="n">
        <x:f>IF(AND(ISNUMBER(J17),ISNUMBER(J18)),J17-J18,"n.a.")</x:f>
        <x:v>38832.6</x:v>
      </x:c>
      <x:c r="K19" s="58" t="n">
        <x:f>IF(AND(ISNUMBER(K17),ISNUMBER(K18)),K17-K18,"n.a.")</x:f>
        <x:v>38832.6</x:v>
      </x:c>
      <x:c r="L19" s="58" t="n">
        <x:f>IF(AND(ISNUMBER(L17),ISNUMBER(L18)),L17-L18,"n.a.")</x:f>
        <x:v>38832.6</x:v>
      </x:c>
      <x:c r="M19" s="58" t="n">
        <x:f>IF(AND(ISNUMBER(M17),ISNUMBER(M18)),M17-M18,"n.a.")</x:f>
        <x:v>38832.6</x:v>
      </x:c>
      <x:c r="N19" s="58" t="n">
        <x:f>IF(AND(ISNUMBER(N17),ISNUMBER(N18)),N17-N18,"n.a.")</x:f>
        <x:v>38832.6</x:v>
      </x:c>
      <x:c r="O19" s="58" t="n">
        <x:f>IF(AND(ISNUMBER(O17),ISNUMBER(O18)),O17-O18,"n.a.")</x:f>
        <x:v>38832.6</x:v>
      </x:c>
      <x:c r="P19" s="58" t="n">
        <x:f>IF(AND(ISNUMBER(P17),ISNUMBER(P18)),P17-P18,"n.a.")</x:f>
        <x:v>38832.6</x:v>
      </x:c>
      <x:c r="Q19" s="58" t="n">
        <x:f>IF(AND(ISNUMBER(Q17),ISNUMBER(Q18)),Q17-Q18,"n.a.")</x:f>
        <x:v>38832.6</x:v>
      </x:c>
      <x:c r="R19" s="58" t="n">
        <x:f>IF(AND(ISNUMBER(R17),ISNUMBER(R18)),R17-R18,"n.a.")</x:f>
        <x:v>38832.6</x:v>
      </x:c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IF(AND(ISNUMBER('Operations'!E19),ISNUMBER('Assumptions'!$D$52)),'Operations'!E19+'Assumptions'!$D$52,"n.a.")</x:f>
        <x:v>465991.1999999999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61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4600970.158254158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5177679.999999999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3900000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LTV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26333.079292558024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2000000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500000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3574327.7897744942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2" t="n">
        <x:f>IF(AND(ISNUMBER(D14)),D14,"n.a.")</x:f>
        <x:v>3900000</x:v>
      </x:c>
      <x:c r="H29" s="62" t="n">
        <x:f>IF(AND(ISNUMBER(G33)),G33,"n.a.")</x:f>
        <x:v>3900000</x:v>
      </x:c>
      <x:c r="I29" s="62" t="n">
        <x:f>IF(AND(ISNUMBER(H33)),H33,"n.a.")</x:f>
        <x:v>3900000</x:v>
      </x:c>
      <x:c r="J29" s="62" t="n">
        <x:f>IF(AND(ISNUMBER(I33)),I33,"n.a.")</x:f>
        <x:v>3900000</x:v>
      </x:c>
      <x:c r="K29" s="62" t="n">
        <x:f>IF(AND(ISNUMBER(J33)),J33,"n.a.")</x:f>
        <x:v>3900000</x:v>
      </x:c>
      <x:c r="L29" s="62" t="n">
        <x:f>IF(AND(ISNUMBER(K33)),K33,"n.a.")</x:f>
        <x:v>3900000</x:v>
      </x:c>
      <x:c r="M29" s="62" t="n">
        <x:f>IF(AND(ISNUMBER(L33)),L33,"n.a.")</x:f>
        <x:v>3900000</x:v>
      </x:c>
      <x:c r="N29" s="62" t="n">
        <x:f>IF(AND(ISNUMBER(M33)),M33,"n.a.")</x:f>
        <x:v>3894791.920707442</x:v>
      </x:c>
      <x:c r="O29" s="62" t="n">
        <x:f>IF(AND(ISNUMBER(N33)),N33,"n.a.")</x:f>
        <x:v>3889555.6309853825</x:v>
      </x:c>
      <x:c r="P29" s="62" t="n">
        <x:f>IF(AND(ISNUMBER(O33)),O33,"n.a.")</x:f>
        <x:v>3884290.9780273284</x:v>
      </x:c>
      <x:c r="Q29" s="62" t="n">
        <x:f>IF(AND(ISNUMBER(P33)),P33,"n.a.")</x:f>
        <x:v>3878997.808199085</x:v>
      </x:c>
      <x:c r="R29" s="62" t="n">
        <x:f>IF(AND(ISNUMBER(Q33)),Q33,"n.a.")</x:f>
        <x:v>3873675.967034272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3" t="n">
        <x:f>IF(AND(ISNUMBER(G29),ISNUMBER('Assumptions'!$D$31)),G29*'Assumptions'!$D$31/12,"n.a.")</x:f>
        <x:v>21125</x:v>
      </x:c>
      <x:c r="H30" s="63" t="n">
        <x:f>IF(AND(ISNUMBER(H29),ISNUMBER('Assumptions'!$D$31)),H29*'Assumptions'!$D$31/12,"n.a.")</x:f>
        <x:v>21125</x:v>
      </x:c>
      <x:c r="I30" s="63" t="n">
        <x:f>IF(AND(ISNUMBER(I29),ISNUMBER('Assumptions'!$D$31)),I29*'Assumptions'!$D$31/12,"n.a.")</x:f>
        <x:v>21125</x:v>
      </x:c>
      <x:c r="J30" s="63" t="n">
        <x:f>IF(AND(ISNUMBER(J29),ISNUMBER('Assumptions'!$D$31)),J29*'Assumptions'!$D$31/12,"n.a.")</x:f>
        <x:v>21125</x:v>
      </x:c>
      <x:c r="K30" s="63" t="n">
        <x:f>IF(AND(ISNUMBER(K29),ISNUMBER('Assumptions'!$D$31)),K29*'Assumptions'!$D$31/12,"n.a.")</x:f>
        <x:v>21125</x:v>
      </x:c>
      <x:c r="L30" s="63" t="n">
        <x:f>IF(AND(ISNUMBER(L29),ISNUMBER('Assumptions'!$D$31)),L29*'Assumptions'!$D$31/12,"n.a.")</x:f>
        <x:v>21125</x:v>
      </x:c>
      <x:c r="M30" s="63" t="n">
        <x:f>IF(AND(ISNUMBER(M29),ISNUMBER('Assumptions'!$D$31)),M29*'Assumptions'!$D$31/12,"n.a.")</x:f>
        <x:v>21125</x:v>
      </x:c>
      <x:c r="N30" s="63" t="n">
        <x:f>IF(AND(ISNUMBER(N29),ISNUMBER('Assumptions'!$D$31)),N29*'Assumptions'!$D$31/12,"n.a.")</x:f>
        <x:v>21096.789570498644</x:v>
      </x:c>
      <x:c r="O30" s="63" t="n">
        <x:f>IF(AND(ISNUMBER(O29),ISNUMBER('Assumptions'!$D$31)),O29*'Assumptions'!$D$31/12,"n.a.")</x:f>
        <x:v>21068.426334504158</x:v>
      </x:c>
      <x:c r="P30" s="63" t="n">
        <x:f>IF(AND(ISNUMBER(P29),ISNUMBER('Assumptions'!$D$31)),P29*'Assumptions'!$D$31/12,"n.a.")</x:f>
        <x:v>21039.909464314696</x:v>
      </x:c>
      <x:c r="Q30" s="63" t="n">
        <x:f>IF(AND(ISNUMBER(Q29),ISNUMBER('Assumptions'!$D$31)),Q29*'Assumptions'!$D$31/12,"n.a.")</x:f>
        <x:v>21011.238127745044</x:v>
      </x:c>
      <x:c r="R30" s="63" t="n">
        <x:f>IF(AND(ISNUMBER(R29),ISNUMBER('Assumptions'!$D$31)),R29*'Assumptions'!$D$31/12,"n.a.")</x:f>
        <x:v>20982.41148810231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3" t="n">
        <x:f>IF(AND(ISNUMBER('Assumptions'!$D$37),ISNUMBER(G30),ISNUMBER(G29),ISNUMBER(D16)),IF(1&lt;='Assumptions'!$D$37,G30,MIN(G29+G30,D16)),"n.a.")</x:f>
        <x:v>21125</x:v>
      </x:c>
      <x:c r="H31" s="63" t="n">
        <x:f>IF(AND(ISNUMBER('Assumptions'!$D$37),ISNUMBER(H30),ISNUMBER(H29),ISNUMBER(D16)),IF(2&lt;='Assumptions'!$D$37,H30,MIN(H29+H30,D16)),"n.a.")</x:f>
        <x:v>21125</x:v>
      </x:c>
      <x:c r="I31" s="63" t="n">
        <x:f>IF(AND(ISNUMBER('Assumptions'!$D$37),ISNUMBER(I30),ISNUMBER(I29),ISNUMBER(D16)),IF(3&lt;='Assumptions'!$D$37,I30,MIN(I29+I30,D16)),"n.a.")</x:f>
        <x:v>21125</x:v>
      </x:c>
      <x:c r="J31" s="63" t="n">
        <x:f>IF(AND(ISNUMBER('Assumptions'!$D$37),ISNUMBER(J30),ISNUMBER(J29),ISNUMBER(D16)),IF(4&lt;='Assumptions'!$D$37,J30,MIN(J29+J30,D16)),"n.a.")</x:f>
        <x:v>21125</x:v>
      </x:c>
      <x:c r="K31" s="63" t="n">
        <x:f>IF(AND(ISNUMBER('Assumptions'!$D$37),ISNUMBER(K30),ISNUMBER(K29),ISNUMBER(D16)),IF(5&lt;='Assumptions'!$D$37,K30,MIN(K29+K30,D16)),"n.a.")</x:f>
        <x:v>21125</x:v>
      </x:c>
      <x:c r="L31" s="63" t="n">
        <x:f>IF(AND(ISNUMBER('Assumptions'!$D$37),ISNUMBER(L30),ISNUMBER(L29),ISNUMBER(D16)),IF(6&lt;='Assumptions'!$D$37,L30,MIN(L29+L30,D16)),"n.a.")</x:f>
        <x:v>21125</x:v>
      </x:c>
      <x:c r="M31" s="63" t="n">
        <x:f>IF(AND(ISNUMBER('Assumptions'!$D$37),ISNUMBER(M30),ISNUMBER(M29),ISNUMBER(D16)),IF(7&lt;='Assumptions'!$D$37,M30,MIN(M29+M30,D16)),"n.a.")</x:f>
        <x:v>26333.079292558024</x:v>
      </x:c>
      <x:c r="N31" s="63" t="n">
        <x:f>IF(AND(ISNUMBER('Assumptions'!$D$37),ISNUMBER(N30),ISNUMBER(N29),ISNUMBER(D16)),IF(8&lt;='Assumptions'!$D$37,N30,MIN(N29+N30,D16)),"n.a.")</x:f>
        <x:v>26333.079292558024</x:v>
      </x:c>
      <x:c r="O31" s="63" t="n">
        <x:f>IF(AND(ISNUMBER('Assumptions'!$D$37),ISNUMBER(O30),ISNUMBER(O29),ISNUMBER(D16)),IF(9&lt;='Assumptions'!$D$37,O30,MIN(O29+O30,D16)),"n.a.")</x:f>
        <x:v>26333.079292558024</x:v>
      </x:c>
      <x:c r="P31" s="63" t="n">
        <x:f>IF(AND(ISNUMBER('Assumptions'!$D$37),ISNUMBER(P30),ISNUMBER(P29),ISNUMBER(D16)),IF(10&lt;='Assumptions'!$D$37,P30,MIN(P29+P30,D16)),"n.a.")</x:f>
        <x:v>26333.079292558024</x:v>
      </x:c>
      <x:c r="Q31" s="63" t="n">
        <x:f>IF(AND(ISNUMBER('Assumptions'!$D$37),ISNUMBER(Q30),ISNUMBER(Q29),ISNUMBER(D16)),IF(11&lt;='Assumptions'!$D$37,Q30,MIN(Q29+Q30,D16)),"n.a.")</x:f>
        <x:v>26333.079292558024</x:v>
      </x:c>
      <x:c r="R31" s="63" t="n">
        <x:f>IF(AND(ISNUMBER('Assumptions'!$D$37),ISNUMBER(R30),ISNUMBER(R29),ISNUMBER(D16)),IF(12&lt;='Assumptions'!$D$37,R30,MIN(R29+R30,D16)),"n.a.")</x:f>
        <x:v>26333.079292558024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2" t="n">
        <x:f>IF(AND(ISNUMBER(G31),ISNUMBER(G30)),G31-G30,"n.a.")</x:f>
        <x:v>0</x:v>
      </x:c>
      <x:c r="H32" s="62" t="n">
        <x:f>IF(AND(ISNUMBER(H31),ISNUMBER(H30)),H31-H30,"n.a.")</x:f>
        <x:v>0</x:v>
      </x:c>
      <x:c r="I32" s="62" t="n">
        <x:f>IF(AND(ISNUMBER(I31),ISNUMBER(I30)),I31-I30,"n.a.")</x:f>
        <x:v>0</x:v>
      </x:c>
      <x:c r="J32" s="62" t="n">
        <x:f>IF(AND(ISNUMBER(J31),ISNUMBER(J30)),J31-J30,"n.a.")</x:f>
        <x:v>0</x:v>
      </x:c>
      <x:c r="K32" s="62" t="n">
        <x:f>IF(AND(ISNUMBER(K31),ISNUMBER(K30)),K31-K30,"n.a.")</x:f>
        <x:v>0</x:v>
      </x:c>
      <x:c r="L32" s="62" t="n">
        <x:f>IF(AND(ISNUMBER(L31),ISNUMBER(L30)),L31-L30,"n.a.")</x:f>
        <x:v>0</x:v>
      </x:c>
      <x:c r="M32" s="62" t="n">
        <x:f>IF(AND(ISNUMBER(M31),ISNUMBER(M30)),M31-M30,"n.a.")</x:f>
        <x:v>5208.0792925580245</x:v>
      </x:c>
      <x:c r="N32" s="62" t="n">
        <x:f>IF(AND(ISNUMBER(N31),ISNUMBER(N30)),N31-N30,"n.a.")</x:f>
        <x:v>5236.28972205938</x:v>
      </x:c>
      <x:c r="O32" s="62" t="n">
        <x:f>IF(AND(ISNUMBER(O31),ISNUMBER(O30)),O31-O30,"n.a.")</x:f>
        <x:v>5264.652958053866</x:v>
      </x:c>
      <x:c r="P32" s="62" t="n">
        <x:f>IF(AND(ISNUMBER(P31),ISNUMBER(P30)),P31-P30,"n.a.")</x:f>
        <x:v>5293.169828243328</x:v>
      </x:c>
      <x:c r="Q32" s="62" t="n">
        <x:f>IF(AND(ISNUMBER(Q31),ISNUMBER(Q30)),Q31-Q30,"n.a.")</x:f>
        <x:v>5321.84116481298</x:v>
      </x:c>
      <x:c r="R32" s="62" t="n">
        <x:f>IF(AND(ISNUMBER(R31),ISNUMBER(R30)),R31-R30,"n.a.")</x:f>
        <x:v>5350.667804455716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2" t="n">
        <x:f>IF(AND(ISNUMBER(G29),ISNUMBER(G32),ISNUMBER(G38)),G29-G32-G38,"n.a.")</x:f>
        <x:v>3900000</x:v>
      </x:c>
      <x:c r="H33" s="62" t="n">
        <x:f>IF(AND(ISNUMBER(H29),ISNUMBER(H32),ISNUMBER(H38)),H29-H32-H38,"n.a.")</x:f>
        <x:v>3900000</x:v>
      </x:c>
      <x:c r="I33" s="62" t="n">
        <x:f>IF(AND(ISNUMBER(I29),ISNUMBER(I32),ISNUMBER(I38)),I29-I32-I38,"n.a.")</x:f>
        <x:v>3900000</x:v>
      </x:c>
      <x:c r="J33" s="62" t="n">
        <x:f>IF(AND(ISNUMBER(J29),ISNUMBER(J32),ISNUMBER(J38)),J29-J32-J38,"n.a.")</x:f>
        <x:v>3900000</x:v>
      </x:c>
      <x:c r="K33" s="62" t="n">
        <x:f>IF(AND(ISNUMBER(K29),ISNUMBER(K32),ISNUMBER(K38)),K29-K32-K38,"n.a.")</x:f>
        <x:v>3900000</x:v>
      </x:c>
      <x:c r="L33" s="62" t="n">
        <x:f>IF(AND(ISNUMBER(L29),ISNUMBER(L32),ISNUMBER(L38)),L29-L32-L38,"n.a.")</x:f>
        <x:v>3900000</x:v>
      </x:c>
      <x:c r="M33" s="62" t="n">
        <x:f>IF(AND(ISNUMBER(M29),ISNUMBER(M32),ISNUMBER(M38)),M29-M32-M38,"n.a.")</x:f>
        <x:v>3894791.920707442</x:v>
      </x:c>
      <x:c r="N33" s="62" t="n">
        <x:f>IF(AND(ISNUMBER(N29),ISNUMBER(N32),ISNUMBER(N38)),N29-N32-N38,"n.a.")</x:f>
        <x:v>3889555.6309853825</x:v>
      </x:c>
      <x:c r="O33" s="62" t="n">
        <x:f>IF(AND(ISNUMBER(O29),ISNUMBER(O32),ISNUMBER(O38)),O29-O32-O38,"n.a.")</x:f>
        <x:v>3884290.9780273284</x:v>
      </x:c>
      <x:c r="P33" s="62" t="n">
        <x:f>IF(AND(ISNUMBER(P29),ISNUMBER(P32),ISNUMBER(P38)),P29-P32-P38,"n.a.")</x:f>
        <x:v>3878997.808199085</x:v>
      </x:c>
      <x:c r="Q33" s="62" t="n">
        <x:f>IF(AND(ISNUMBER(Q29),ISNUMBER(Q32),ISNUMBER(Q38)),Q29-Q32-Q38,"n.a.")</x:f>
        <x:v>3873675.967034272</x:v>
      </x:c>
      <x:c r="R33" s="62" t="n">
        <x:f>IF(AND(ISNUMBER(R29),ISNUMBER(R32),ISNUMBER(R38)),R29-R32-R38,"n.a.")</x:f>
        <x:v>3868325.299229816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3" t="n">
        <x:f>IF(AND(ISNUMBER('Operations'!G19)),'Operations'!G19,"n.a.")</x:f>
        <x:v>38832.6</x:v>
      </x:c>
      <x:c r="H34" s="63" t="n">
        <x:f>IF(AND(ISNUMBER('Operations'!H19)),'Operations'!H19,"n.a.")</x:f>
        <x:v>38832.6</x:v>
      </x:c>
      <x:c r="I34" s="63" t="n">
        <x:f>IF(AND(ISNUMBER('Operations'!I19)),'Operations'!I19,"n.a.")</x:f>
        <x:v>38832.6</x:v>
      </x:c>
      <x:c r="J34" s="63" t="n">
        <x:f>IF(AND(ISNUMBER('Operations'!J19)),'Operations'!J19,"n.a.")</x:f>
        <x:v>38832.6</x:v>
      </x:c>
      <x:c r="K34" s="63" t="n">
        <x:f>IF(AND(ISNUMBER('Operations'!K19)),'Operations'!K19,"n.a.")</x:f>
        <x:v>38832.6</x:v>
      </x:c>
      <x:c r="L34" s="63" t="n">
        <x:f>IF(AND(ISNUMBER('Operations'!L19)),'Operations'!L19,"n.a.")</x:f>
        <x:v>38832.6</x:v>
      </x:c>
      <x:c r="M34" s="63" t="n">
        <x:f>IF(AND(ISNUMBER('Operations'!M19)),'Operations'!M19,"n.a.")</x:f>
        <x:v>38832.6</x:v>
      </x:c>
      <x:c r="N34" s="63" t="n">
        <x:f>IF(AND(ISNUMBER('Operations'!N19)),'Operations'!N19,"n.a.")</x:f>
        <x:v>38832.6</x:v>
      </x:c>
      <x:c r="O34" s="63" t="n">
        <x:f>IF(AND(ISNUMBER('Operations'!O19)),'Operations'!O19,"n.a.")</x:f>
        <x:v>38832.6</x:v>
      </x:c>
      <x:c r="P34" s="63" t="n">
        <x:f>IF(AND(ISNUMBER('Operations'!P19)),'Operations'!P19,"n.a.")</x:f>
        <x:v>38832.6</x:v>
      </x:c>
      <x:c r="Q34" s="63" t="n">
        <x:f>IF(AND(ISNUMBER('Operations'!Q19)),'Operations'!Q19,"n.a.")</x:f>
        <x:v>38832.6</x:v>
      </x:c>
      <x:c r="R34" s="63" t="n">
        <x:f>IF(AND(ISNUMBER('Operations'!R19)),'Operations'!R19,"n.a.")</x:f>
        <x:v>38832.6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3" t="n">
        <x:f>IF(AND(ISNUMBER('Operations'!G14)),'Operations'!G14,"n.a.")</x:f>
        <x:v>1500</x:v>
      </x:c>
      <x:c r="H35" s="63" t="n">
        <x:f>IF(AND(ISNUMBER('Operations'!H14)),'Operations'!H14,"n.a.")</x:f>
        <x:v>1500</x:v>
      </x:c>
      <x:c r="I35" s="63" t="n">
        <x:f>IF(AND(ISNUMBER('Operations'!I14)),'Operations'!I14,"n.a.")</x:f>
        <x:v>1500</x:v>
      </x:c>
      <x:c r="J35" s="63" t="n">
        <x:f>IF(AND(ISNUMBER('Operations'!J14)),'Operations'!J14,"n.a.")</x:f>
        <x:v>1500</x:v>
      </x:c>
      <x:c r="K35" s="63" t="n">
        <x:f>IF(AND(ISNUMBER('Operations'!K14)),'Operations'!K14,"n.a.")</x:f>
        <x:v>1500</x:v>
      </x:c>
      <x:c r="L35" s="63" t="n">
        <x:f>IF(AND(ISNUMBER('Operations'!L14)),'Operations'!L14,"n.a.")</x:f>
        <x:v>1500</x:v>
      </x:c>
      <x:c r="M35" s="63" t="n">
        <x:f>IF(AND(ISNUMBER('Operations'!M14)),'Operations'!M14,"n.a.")</x:f>
        <x:v>1500</x:v>
      </x:c>
      <x:c r="N35" s="63" t="n">
        <x:f>IF(AND(ISNUMBER('Operations'!N14)),'Operations'!N14,"n.a.")</x:f>
        <x:v>1500</x:v>
      </x:c>
      <x:c r="O35" s="63" t="n">
        <x:f>IF(AND(ISNUMBER('Operations'!O14)),'Operations'!O14,"n.a.")</x:f>
        <x:v>70000</x:v>
      </x:c>
      <x:c r="P35" s="63" t="n">
        <x:f>IF(AND(ISNUMBER('Operations'!P14)),'Operations'!P14,"n.a.")</x:f>
        <x:v>1500</x:v>
      </x:c>
      <x:c r="Q35" s="63" t="n">
        <x:f>IF(AND(ISNUMBER('Operations'!Q14)),'Operations'!Q14,"n.a.")</x:f>
        <x:v>1500</x:v>
      </x:c>
      <x:c r="R35" s="63" t="n">
        <x:f>IF(AND(ISNUMBER('Operations'!R14)),'Operations'!R14,"n.a.")</x:f>
        <x:v>1500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2" t="n">
        <x:f>IF(AND(ISNUMBER(G34),ISNUMBER(G31),ISNUMBER(G35),ISNUMBER(G38)),G34-G31-G35-G38,"n.a.")</x:f>
        <x:v>16207.599999999999</x:v>
      </x:c>
      <x:c r="H36" s="62" t="n">
        <x:f>IF(AND(ISNUMBER(H34),ISNUMBER(H31),ISNUMBER(H35),ISNUMBER(H38)),H34-H31-H35-H38,"n.a.")</x:f>
        <x:v>16207.599999999999</x:v>
      </x:c>
      <x:c r="I36" s="62" t="n">
        <x:f>IF(AND(ISNUMBER(I34),ISNUMBER(I31),ISNUMBER(I35),ISNUMBER(I38)),I34-I31-I35-I38,"n.a.")</x:f>
        <x:v>16207.599999999999</x:v>
      </x:c>
      <x:c r="J36" s="62" t="n">
        <x:f>IF(AND(ISNUMBER(J34),ISNUMBER(J31),ISNUMBER(J35),ISNUMBER(J38)),J34-J31-J35-J38,"n.a.")</x:f>
        <x:v>16207.599999999999</x:v>
      </x:c>
      <x:c r="K36" s="62" t="n">
        <x:f>IF(AND(ISNUMBER(K34),ISNUMBER(K31),ISNUMBER(K35),ISNUMBER(K38)),K34-K31-K35-K38,"n.a.")</x:f>
        <x:v>16207.599999999999</x:v>
      </x:c>
      <x:c r="L36" s="62" t="n">
        <x:f>IF(AND(ISNUMBER(L34),ISNUMBER(L31),ISNUMBER(L35),ISNUMBER(L38)),L34-L31-L35-L38,"n.a.")</x:f>
        <x:v>16207.599999999999</x:v>
      </x:c>
      <x:c r="M36" s="62" t="n">
        <x:f>IF(AND(ISNUMBER(M34),ISNUMBER(M31),ISNUMBER(M35),ISNUMBER(M38)),M34-M31-M35-M38,"n.a.")</x:f>
        <x:v>10999.520707441974</x:v>
      </x:c>
      <x:c r="N36" s="62" t="n">
        <x:f>IF(AND(ISNUMBER(N34),ISNUMBER(N31),ISNUMBER(N35),ISNUMBER(N38)),N34-N31-N35-N38,"n.a.")</x:f>
        <x:v>10999.520707441974</x:v>
      </x:c>
      <x:c r="O36" s="62" t="n">
        <x:f>IF(AND(ISNUMBER(O34),ISNUMBER(O31),ISNUMBER(O35),ISNUMBER(O38)),O34-O31-O35-O38,"n.a.")</x:f>
        <x:v>-57500.479292558026</x:v>
      </x:c>
      <x:c r="P36" s="62" t="n">
        <x:f>IF(AND(ISNUMBER(P34),ISNUMBER(P31),ISNUMBER(P35),ISNUMBER(P38)),P34-P31-P35-P38,"n.a.")</x:f>
        <x:v>10999.520707441974</x:v>
      </x:c>
      <x:c r="Q36" s="62" t="n">
        <x:f>IF(AND(ISNUMBER(Q34),ISNUMBER(Q31),ISNUMBER(Q35),ISNUMBER(Q38)),Q34-Q31-Q35-Q38,"n.a.")</x:f>
        <x:v>10999.520707441974</x:v>
      </x:c>
      <x:c r="R36" s="62" t="n">
        <x:f>IF(AND(ISNUMBER(R34),ISNUMBER(R31),ISNUMBER(R35),ISNUMBER(R38)),R34-R31-R35-R38,"n.a.")</x:f>
        <x:v>10999.520707441974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3" t="n">
        <x:f>IF(AND(ISNUMBER('Assumptions'!$D$22),ISNUMBER(G36)),'Assumptions'!$D$22+G36,"n.a.")</x:f>
        <x:v>166207.6</x:v>
      </x:c>
      <x:c r="H37" s="62" t="n">
        <x:f>IF(AND(ISNUMBER(G37),ISNUMBER(H36)),G37+H36,"n.a.")</x:f>
        <x:v>182415.2</x:v>
      </x:c>
      <x:c r="I37" s="62" t="n">
        <x:f>IF(AND(ISNUMBER(H37),ISNUMBER(I36)),H37+I36,"n.a.")</x:f>
        <x:v>198622.80000000002</x:v>
      </x:c>
      <x:c r="J37" s="62" t="n">
        <x:f>IF(AND(ISNUMBER(I37),ISNUMBER(J36)),I37+J36,"n.a.")</x:f>
        <x:v>214830.40000000002</x:v>
      </x:c>
      <x:c r="K37" s="62" t="n">
        <x:f>IF(AND(ISNUMBER(J37),ISNUMBER(K36)),J37+K36,"n.a.")</x:f>
        <x:v>231038.00000000003</x:v>
      </x:c>
      <x:c r="L37" s="62" t="n">
        <x:f>IF(AND(ISNUMBER(K37),ISNUMBER(L36)),K37+L36,"n.a.")</x:f>
        <x:v>247245.60000000003</x:v>
      </x:c>
      <x:c r="M37" s="62" t="n">
        <x:f>IF(AND(ISNUMBER(L37),ISNUMBER(M36)),L37+M36,"n.a.")</x:f>
        <x:v>258245.120707442</x:v>
      </x:c>
      <x:c r="N37" s="62" t="n">
        <x:f>IF(AND(ISNUMBER(M37),ISNUMBER(N36)),M37+N36,"n.a.")</x:f>
        <x:v>269244.64141488395</x:v>
      </x:c>
      <x:c r="O37" s="62" t="n">
        <x:f>IF(AND(ISNUMBER(N37),ISNUMBER(O36)),N37+O36,"n.a.")</x:f>
        <x:v>211744.1621223259</x:v>
      </x:c>
      <x:c r="P37" s="62" t="n">
        <x:f>IF(AND(ISNUMBER(O37),ISNUMBER(P36)),O37+P36,"n.a.")</x:f>
        <x:v>222743.68282976787</x:v>
      </x:c>
      <x:c r="Q37" s="62" t="n">
        <x:f>IF(AND(ISNUMBER(P37),ISNUMBER(Q36)),P37+Q36,"n.a.")</x:f>
        <x:v>233743.20353720983</x:v>
      </x:c>
      <x:c r="R37" s="62" t="n">
        <x:f>IF(AND(ISNUMBER(Q37),ISNUMBER(R36)),Q37+R36,"n.a.")</x:f>
        <x:v>244742.7242446518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3" t="n">
        <x:f>IF(AND(ISNUMBER('Assumptions'!$D$40),ISNUMBER(G29),ISNUMBER(G32)),IF(1='Assumptions'!$D$40,G29-G32,0),"n.a.")</x:f>
        <x:v>0</x:v>
      </x:c>
      <x:c r="H38" s="63" t="n">
        <x:f>IF(AND(ISNUMBER('Assumptions'!$D$40),ISNUMBER(H29),ISNUMBER(H32)),IF(2='Assumptions'!$D$40,H29-H32,0),"n.a.")</x:f>
        <x:v>0</x:v>
      </x:c>
      <x:c r="I38" s="63" t="n">
        <x:f>IF(AND(ISNUMBER('Assumptions'!$D$40),ISNUMBER(I29),ISNUMBER(I32)),IF(3='Assumptions'!$D$40,I29-I32,0),"n.a.")</x:f>
        <x:v>0</x:v>
      </x:c>
      <x:c r="J38" s="63" t="n">
        <x:f>IF(AND(ISNUMBER('Assumptions'!$D$40),ISNUMBER(J29),ISNUMBER(J32)),IF(4='Assumptions'!$D$40,J29-J32,0),"n.a.")</x:f>
        <x:v>0</x:v>
      </x:c>
      <x:c r="K38" s="63" t="n">
        <x:f>IF(AND(ISNUMBER('Assumptions'!$D$40),ISNUMBER(K29),ISNUMBER(K32)),IF(5='Assumptions'!$D$40,K29-K32,0),"n.a.")</x:f>
        <x:v>0</x:v>
      </x:c>
      <x:c r="L38" s="63" t="n">
        <x:f>IF(AND(ISNUMBER('Assumptions'!$D$40),ISNUMBER(L29),ISNUMBER(L32)),IF(6='Assumptions'!$D$40,L29-L32,0),"n.a.")</x:f>
        <x:v>0</x:v>
      </x:c>
      <x:c r="M38" s="63" t="n">
        <x:f>IF(AND(ISNUMBER('Assumptions'!$D$40),ISNUMBER(M29),ISNUMBER(M32)),IF(7='Assumptions'!$D$40,M29-M32,0),"n.a.")</x:f>
        <x:v>0</x:v>
      </x:c>
      <x:c r="N38" s="63" t="n">
        <x:f>IF(AND(ISNUMBER('Assumptions'!$D$40),ISNUMBER(N29),ISNUMBER(N32)),IF(8='Assumptions'!$D$40,N29-N32,0),"n.a.")</x:f>
        <x:v>0</x:v>
      </x:c>
      <x:c r="O38" s="63" t="n">
        <x:f>IF(AND(ISNUMBER('Assumptions'!$D$40),ISNUMBER(O29),ISNUMBER(O32)),IF(9='Assumptions'!$D$40,O29-O32,0),"n.a.")</x:f>
        <x:v>0</x:v>
      </x:c>
      <x:c r="P38" s="63" t="n">
        <x:f>IF(AND(ISNUMBER('Assumptions'!$D$40),ISNUMBER(P29),ISNUMBER(P32)),IF(10='Assumptions'!$D$40,P29-P32,0),"n.a.")</x:f>
        <x:v>0</x:v>
      </x:c>
      <x:c r="Q38" s="63" t="n">
        <x:f>IF(AND(ISNUMBER('Assumptions'!$D$40),ISNUMBER(Q29),ISNUMBER(Q32)),IF(11='Assumptions'!$D$40,Q29-Q32,0),"n.a.")</x:f>
        <x:v>0</x:v>
      </x:c>
      <x:c r="R38" s="63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284748.4757553481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4" t="n">
        <x:f>IF(AND(ISNUMBER(D43),ISNUMBER(D9)),IF(D43=0,"n.a.",D9/D43),"n.a.")</x:f>
        <x:v>1.636501121784311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3868325.299229816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500000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244742.7242446518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3" t="n">
        <x:f>21-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3" t="n">
        <x:f>COUNTIFS('Storage Activity'!N10:N21,"Missing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3" t="n">
        <x:f>IF(AND(ISNUMBER('Operations'!E17),ISNUMBER('Operations'!E12),ISNUMBER('Operations'!E16)),'Operations'!E17-'Operations'!E12+'Operations'!E16,"n.a.")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3" t="n">
        <x:f>IF(AND(ISNUMBER('Operations'!E19),ISNUMBER('Operations'!E17),ISNUMBER('Operations'!E18)),'Operations'!E19-'Operations'!E17+'Operations'!E18,"n.a.")</x:f>
        <x:v>-1.0186340659856796e-10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3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3" t="n">
        <x:f>IF(COUNT('Debt and Funding'!G34:R36)=36,'Debt and Funding'!R37-'Assumptions'!$D$22-SUM('Debt and Funding'!G34:R34)+SUM('Debt and Funding'!G31:R31)+SUM('Debt and Funding'!G35:R35)+SUM('Debt and Funding'!G38:R38),"n.a.")</x:f>
        <x:v>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3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Paying occupancy is economic occupancy after bad debt. Promotions are separate only if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not already embedded in paying occupancy or unit rents. Climate and standard units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retain separate pricing.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Every numerical assumption is illustrative. No current market quote, legal conclusion or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lender eligibility is represented.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NCF is a modeled cash measure after cash reserve deposits. An actual lender may adjust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income, expenses, reserves, tax and business cash differently.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No tax return, appraisal, legal compliance, guaranty capacity or refinancing approval is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established by the calculations.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Calculation methods and conventions are shown here. Check Review and replace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illustrative inputs before relying on results.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