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ba82c7e8647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b109099080e64081"/>
    <x:sheet xmlns:r="http://schemas.openxmlformats.org/officeDocument/2006/relationships" name="Assumptions" sheetId="2" r:id="R74c88f6320574bb0"/>
    <x:sheet xmlns:r="http://schemas.openxmlformats.org/officeDocument/2006/relationships" name="Academic Leasing" sheetId="3" r:id="Re74e59e4c7b24f5c"/>
    <x:sheet xmlns:r="http://schemas.openxmlformats.org/officeDocument/2006/relationships" name="Operations" sheetId="4" r:id="Rd70498f0fda844c3"/>
    <x:sheet xmlns:r="http://schemas.openxmlformats.org/officeDocument/2006/relationships" name="Debt and Funding" sheetId="5" r:id="Rfc0fd91b0f444d7d"/>
    <x:sheet xmlns:r="http://schemas.openxmlformats.org/officeDocument/2006/relationships" name="Review" sheetId="6" r:id="Ra82faeda4274444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#,##0.0;(#,##0.0);&quot;—&quot;"/>
    <x:numFmt numFmtId="201" formatCode="0"/>
    <x:numFmt numFmtId="202" formatCode="$#,##0;($#,##0);&quot;—&quot;"/>
    <x:numFmt numFmtId="203" formatCode="$#,##0.00;($#,##0.00);&quot;—&quot;"/>
    <x:numFmt numFmtId="204" formatCode="  @"/>
    <x:numFmt numFmtId="205" formatCode="0.0%;(0.0%);&quot;—&quot;"/>
    <x:numFmt numFmtId="206" formatCode="0.00&quot;x&quot;"/>
    <x:numFmt numFmtId="207" formatCode="mmm-yy"/>
    <x:numFmt numFmtId="208" formatCode="0.000000&quot;x&quot;"/>
    <x:numFmt numFmtId="209" formatCode="@"/>
    <x:numFmt numFmtId="210" formatCode="0.00;(0.00);0.00"/>
  </x:numFmts>
  <x:fonts count="15">
    <x:font>
      <x:sz val="11"/>
      <x:name val="Carlito"/>
    </x:font>
    <x:font>
      <x:sz val="10"/>
      <x:color rgb="FF172D45"/>
      <x:name val="Arial"/>
    </x:font>
    <x:font>
      <x:b/>
      <x:sz val="15"/>
      <x:color rgb="FF172D45"/>
      <x:name val="Arial"/>
    </x:font>
    <x:font>
      <x:sz val="10"/>
      <x:color rgb="FF28733C"/>
      <x:name val="Arial"/>
    </x:font>
    <x:font>
      <x:b/>
      <x:sz val="10"/>
      <x:color rgb="FF28733C"/>
      <x:name val="Arial"/>
    </x:font>
    <x:font>
      <x:b/>
      <x:sz val="10"/>
      <x:color rgb="FF174EA6"/>
      <x:name val="Arial"/>
    </x:font>
    <x:font>
      <x:sz val="10"/>
      <x:color rgb="FF111111"/>
      <x:name val="Arial"/>
    </x:font>
    <x:font>
      <x:sz val="10"/>
      <x:color rgb="FF174EA6"/>
      <x:name val="Arial"/>
    </x:font>
    <x:font>
      <x:b/>
      <x:sz val="10"/>
      <x:color rgb="FFFFFFFF"/>
      <x:name val="Arial"/>
    </x:font>
    <x:font>
      <x:b/>
      <x:sz val="10"/>
      <x:color rgb="FF172D45"/>
      <x:name val="Arial"/>
    </x:font>
    <x:font>
      <x:b/>
      <x:sz val="10"/>
      <x:color rgb="FF111111"/>
      <x:name val="Arial"/>
    </x:font>
    <x:font>
      <x:b/>
      <x:i/>
      <x:sz val="10"/>
      <x:color rgb="FF172D45"/>
      <x:name val="Arial"/>
    </x:font>
    <x:font>
      <x:b/>
      <x:i/>
      <x:sz val="10"/>
      <x:color rgb="FF111111"/>
      <x:name val="Arial"/>
    </x:font>
    <x:font>
      <x:i/>
      <x:sz val="10"/>
      <x:color rgb="FF172D45"/>
      <x:name val="Arial"/>
    </x:font>
    <x:font>
      <x:i/>
      <x:sz val="10"/>
      <x:color rgb="FF174EA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0"/>
      </x:patternFill>
    </x:fill>
    <x:fill>
      <x:patternFill patternType="solid">
        <x:fgColor rgb="FF183B56"/>
      </x:patternFill>
    </x:fill>
    <x:fill>
      <x:patternFill patternType="solid">
        <x:fgColor rgb="FFE8F0F5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9BADB9"/>
      </x:bottom>
      <x:diagonal/>
    </x:border>
    <x:border>
      <x:left style="dashed">
        <x:color rgb="FF9BADB9"/>
      </x:left>
      <x:right style="dashed">
        <x:color rgb="FF9BADB9"/>
      </x:right>
      <x:top style="dashed">
        <x:color rgb="FF9BADB9"/>
      </x:top>
      <x:bottom style="dashed">
        <x:color rgb="FF9BADB9"/>
      </x:bottom>
      <x:diagonal/>
    </x:border>
  </x:borders>
  <x:cellStyleXfs count="1">
    <x:xf numFmtId="0" fontId="0" fillId="0" borderId="0"/>
  </x:cellStyleXfs>
  <x:cellXfs count="7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5" fillId="2" borderId="2" xfId="0" applyNumberFormat="1" applyFont="1" applyFill="1" applyBorder="1" applyAlignment="1">
      <x:alignment horizontal="center" vertical="center"/>
    </x:xf>
    <x:xf numFmtId="200" fontId="5" fillId="2" borderId="2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200" fontId="7" fillId="2" borderId="0" xfId="0" applyNumberFormat="1" applyFont="1" applyFill="1" applyBorder="1" applyAlignment="1">
      <x:alignment vertical="center"/>
    </x:xf>
    <x:xf numFmtId="201" fontId="7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vertical="center"/>
    </x:xf>
    <x:xf numFmtId="202" fontId="10" fillId="4" borderId="0" xfId="0" applyNumberFormat="1" applyFont="1" applyFill="1" applyBorder="1" applyAlignment="1">
      <x:alignment vertical="center"/>
    </x:xf>
    <x:xf numFmtId="203" fontId="7" fillId="2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0" fillId="4" borderId="0" xfId="0" applyNumberFormat="1" applyFont="1" applyFill="1" applyBorder="1" applyAlignment="1">
      <x:alignment vertical="center"/>
    </x:xf>
    <x:xf numFmtId="205" fontId="7" fillId="2" borderId="0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vertical="center"/>
    </x:xf>
    <x:xf numFmtId="205" fontId="12" fillId="4" borderId="0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 applyAlignment="1">
      <x:alignment vertical="center"/>
    </x:xf>
    <x:xf numFmtId="204" fontId="13" fillId="0" borderId="0" xfId="0" applyNumberFormat="1" applyFont="1" applyFill="1" applyBorder="1" applyAlignment="1">
      <x:alignment vertical="center"/>
    </x:xf>
    <x:xf numFmtId="205" fontId="14" fillId="2" borderId="0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vertical="center"/>
    </x:xf>
    <x:xf numFmtId="200" fontId="10" fillId="4" borderId="0" xfId="0" applyNumberFormat="1" applyFont="1" applyFill="1" applyBorder="1" applyAlignment="1">
      <x:alignment vertical="center"/>
    </x:xf>
    <x:xf numFmtId="206" fontId="10" fillId="4" borderId="0" xfId="0" applyNumberFormat="1" applyFont="1" applyFill="1" applyBorder="1" applyAlignment="1">
      <x:alignment vertical="center"/>
    </x:xf>
    <x:xf numFmtId="206" fontId="7" fillId="2" borderId="0" xfId="0" applyNumberFormat="1" applyFont="1" applyFill="1" applyBorder="1" applyAlignment="1">
      <x:alignment vertical="center"/>
    </x:xf>
    <x:xf numFmtId="206" fontId="12" fillId="4" borderId="0" xfId="0" applyNumberFormat="1" applyFont="1" applyFill="1" applyBorder="1" applyAlignment="1">
      <x:alignment vertical="center"/>
    </x:xf>
    <x:xf numFmtId="206" fontId="1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7" fontId="3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207" fontId="4" fillId="3" borderId="0" xfId="0" applyNumberFormat="1" applyFont="1" applyFill="1" applyBorder="1" applyAlignment="1">
      <x:alignment horizontal="center" vertical="center" wrapText="1"/>
    </x:xf>
    <x:xf numFmtId="207" fontId="8" fillId="3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202" fontId="10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2" fontId="4" fillId="4" borderId="0" xfId="0" applyNumberFormat="1" applyFont="1" applyFill="1" applyBorder="1" applyAlignment="1">
      <x:alignment vertical="center"/>
    </x:xf>
    <x:xf numFmtId="0" fontId="9" fillId="4" borderId="1" xfId="0" applyNumberFormat="1" applyFont="1" applyFill="1" applyBorder="1" applyAlignment="1">
      <x:alignment vertical="center"/>
    </x:xf>
    <x:xf numFmtId="202" fontId="10" fillId="4" borderId="1" xfId="0" applyNumberFormat="1" applyFont="1" applyFill="1" applyBorder="1" applyAlignment="1">
      <x:alignment vertical="center"/>
    </x:xf>
    <x:xf numFmtId="202" fontId="4" fillId="4" borderId="1" xfId="0" applyNumberFormat="1" applyFont="1" applyFill="1" applyBorder="1" applyAlignment="1">
      <x:alignment vertical="center"/>
    </x:xf>
    <x:xf numFmtId="206" fontId="3" fillId="0" borderId="0" xfId="0" applyNumberFormat="1" applyFont="1" applyFill="1" applyBorder="1" applyAlignment="1">
      <x:alignment vertical="center"/>
    </x:xf>
    <x:xf numFmtId="208" fontId="3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horizontal="right" vertical="center"/>
    </x:xf>
    <x:xf numFmtId="202" fontId="3" fillId="0" borderId="0" xfId="0" applyNumberFormat="1" applyFont="1" applyFill="1" applyBorder="1" applyAlignment="1">
      <x:alignment horizontal="right" vertical="center"/>
    </x:xf>
    <x:xf numFmtId="206" fontId="6" fillId="0" borderId="0" xfId="0" applyNumberFormat="1" applyFont="1" applyFill="1" applyBorder="1" applyAlignment="1">
      <x:alignment vertical="center"/>
    </x:xf>
    <x:xf numFmtId="202" fontId="9" fillId="0" borderId="0" xfId="0" applyNumberFormat="1" applyFont="1" applyFill="1" applyBorder="1" applyAlignment="1">
      <x:alignment vertical="center"/>
    </x:xf>
    <x:xf numFmtId="202" fontId="9" fillId="4" borderId="0" xfId="0" applyNumberFormat="1" applyFont="1" applyFill="1" applyBorder="1" applyAlignment="1">
      <x:alignment vertical="center"/>
    </x:xf>
    <x:xf numFmtId="202" fontId="9" fillId="4" borderId="1" xfId="0" applyNumberFormat="1" applyFont="1" applyFill="1" applyBorder="1" applyAlignment="1">
      <x:alignment vertical="center"/>
    </x:xf>
    <x:xf numFmtId="209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right" vertical="center"/>
    </x:xf>
    <x:xf numFmtId="210" fontId="3" fillId="0" borderId="0" xfId="0" applyNumberFormat="1" applyFont="1" applyFill="1" applyBorder="1" applyAlignment="1">
      <x:alignment vertical="center"/>
    </x:xf>
    <x:xf numFmtId="21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fbade6fd6442b2" /><Relationship Type="http://schemas.openxmlformats.org/officeDocument/2006/relationships/theme" Target="/xl/theme/theme1.xml" Id="Rfbcf890427db4b2d" /><Relationship Type="http://schemas.openxmlformats.org/officeDocument/2006/relationships/sharedStrings" Target="/xl/sharedStrings.xml" Id="Ra7dbc4642846477f" /><Relationship Type="http://schemas.openxmlformats.org/officeDocument/2006/relationships/worksheet" Target="/xl/worksheets/sheet1.xml" Id="Rb109099080e64081" /><Relationship Type="http://schemas.openxmlformats.org/officeDocument/2006/relationships/worksheet" Target="/xl/worksheets/sheet2.xml" Id="R74c88f6320574bb0" /><Relationship Type="http://schemas.openxmlformats.org/officeDocument/2006/relationships/worksheet" Target="/xl/worksheets/sheet3.xml" Id="Re74e59e4c7b24f5c" /><Relationship Type="http://schemas.openxmlformats.org/officeDocument/2006/relationships/worksheet" Target="/xl/worksheets/sheet4.xml" Id="Rd70498f0fda844c3" /><Relationship Type="http://schemas.openxmlformats.org/officeDocument/2006/relationships/worksheet" Target="/xl/worksheets/sheet5.xml" Id="Rfc0fd91b0f444d7d" /><Relationship Type="http://schemas.openxmlformats.org/officeDocument/2006/relationships/worksheet" Target="/xl/worksheets/sheet6.xml" Id="Ra82faeda4274444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B56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52" hidden="0" customWidth="1"/>
    <x:col min="4" max="4" width="19" hidden="0" customWidth="1"/>
    <x:col min="5" max="5" width="3" hidden="0" customWidth="1"/>
    <x:col min="6" max="6" width="3" hidden="0" customWidth="1"/>
    <x:col min="7" max="7" width="17" hidden="0" customWidth="1"/>
    <x:col min="8" max="8" width="19" hidden="0" customWidth="1"/>
    <x:col min="9" max="9" width="19" hidden="0" customWidth="1"/>
    <x:col min="10" max="10" width="19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1" customHeight="1">
      <x:c r="A2" s="2"/>
      <x:c r="B2" s="2"/>
      <x:c r="C2" s="3" t="str">
        <x:v>Student housing underwriting</x:v>
      </x:c>
      <x:c r="D2" s="2"/>
      <x:c r="E2" s="2"/>
      <x:c r="F2" s="2"/>
      <x:c r="G2" s="2"/>
      <x:c r="H2" s="2"/>
      <x:c r="I2" s="2"/>
      <x:c r="J2" s="2"/>
      <x:c r="K2" s="2"/>
      <x:c r="L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 t="str">
        <x:v>Jaken Finance Group</x:v>
      </x:c>
      <x:c r="D4" s="2"/>
      <x:c r="E4" s="2"/>
      <x:c r="F4" s="2"/>
      <x:c r="G4" s="2"/>
      <x:c r="H4" s="2"/>
      <x:c r="I4" s="2"/>
      <x:c r="J4" s="2"/>
      <x:c r="K4" s="2"/>
      <x:c r="L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 t="str">
        <x:v>Model version 1.0.0</x:v>
      </x:c>
      <x:c r="H5" s="2"/>
      <x:c r="I5" s="2"/>
      <x:c r="J5" s="2"/>
      <x:c r="K5" s="2"/>
      <x:c r="L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1" customHeight="1">
      <x:c r="A7" s="2"/>
      <x:c r="B7" s="2"/>
      <x:c r="C7" s="2" t="str">
        <x:v>Illustrative inputs. Replace with actual records and lender terms.</x:v>
      </x:c>
      <x:c r="D7" s="2"/>
      <x:c r="E7" s="2"/>
      <x:c r="F7" s="2"/>
      <x:c r="G7" s="2"/>
      <x:c r="H7" s="2"/>
      <x:c r="I7" s="2"/>
      <x:c r="J7" s="2"/>
      <x:c r="K7" s="2"/>
      <x:c r="L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30" customHeight="1">
      <x:c r="A9" s="2"/>
      <x:c r="B9" s="2"/>
      <x:c r="C9" s="21" t="str">
        <x:v>Decision measure</x:v>
      </x:c>
      <x:c r="D9" s="21" t="str">
        <x:v>Selected case</x:v>
      </x:c>
      <x:c r="E9" s="2"/>
      <x:c r="F9" s="2"/>
      <x:c r="G9" s="21" t="str">
        <x:v>Month</x:v>
      </x:c>
      <x:c r="H9" s="21" t="str">
        <x:v>Cash after debt</x:v>
      </x:c>
      <x:c r="I9" s="21" t="str">
        <x:v>Operating cash</x:v>
      </x:c>
      <x:c r="J9" s="21" t="str">
        <x:v>Debt balance</x:v>
      </x:c>
      <x:c r="K9" s="2"/>
      <x:c r="L9" s="2"/>
    </x:row>
    <x:row r="10" ht="21" customHeight="1">
      <x:c r="A10" s="2"/>
      <x:c r="B10" s="2"/>
      <x:c r="C10" s="2" t="str">
        <x:v>Operating revenue</x:v>
      </x:c>
      <x:c r="D10" s="50" t="n">
        <x:f>'Operations'!E12</x:f>
        <x:v>963900</x:v>
      </x:c>
      <x:c r="E10" s="2"/>
      <x:c r="F10" s="2"/>
      <x:c r="G10" s="70" t="n">
        <x:f>'Operations'!G9</x:f>
        <x:v>46388</x:v>
      </x:c>
      <x:c r="H10" s="71" t="n">
        <x:f>'Debt and Funding'!G36</x:f>
        <x:v>50603</x:v>
      </x:c>
      <x:c r="I10" s="71" t="n">
        <x:f>'Debt and Funding'!G37</x:f>
        <x:v>200603</x:v>
      </x:c>
      <x:c r="J10" s="71" t="n">
        <x:f>'Debt and Funding'!G33</x:f>
        <x:v>3900000</x:v>
      </x:c>
      <x:c r="K10" s="2"/>
      <x:c r="L10" s="2"/>
    </x:row>
    <x:row r="11" ht="21" customHeight="1">
      <x:c r="A11" s="2"/>
      <x:c r="B11" s="2"/>
      <x:c r="C11" s="2" t="str">
        <x:v>Cash operating costs</x:v>
      </x:c>
      <x:c r="D11" s="50" t="n">
        <x:f>'Operations'!E16</x:f>
        <x:v>276390</x:v>
      </x:c>
      <x:c r="E11" s="2"/>
      <x:c r="F11" s="2"/>
      <x:c r="G11" s="70" t="n">
        <x:f>'Operations'!H9</x:f>
        <x:v>46419</x:v>
      </x:c>
      <x:c r="H11" s="71" t="n">
        <x:f>'Debt and Funding'!H36</x:f>
        <x:v>50603</x:v>
      </x:c>
      <x:c r="I11" s="71" t="n">
        <x:f>'Debt and Funding'!H37</x:f>
        <x:v>251206</x:v>
      </x:c>
      <x:c r="J11" s="71" t="n">
        <x:f>'Debt and Funding'!H33</x:f>
        <x:v>3900000</x:v>
      </x:c>
      <x:c r="K11" s="2"/>
      <x:c r="L11" s="2"/>
    </x:row>
    <x:row r="12" ht="21" customHeight="1">
      <x:c r="A12" s="2"/>
      <x:c r="B12" s="2"/>
      <x:c r="C12" s="2" t="str">
        <x:v>NOI / operating cash</x:v>
      </x:c>
      <x:c r="D12" s="50" t="n">
        <x:f>'Operations'!E17</x:f>
        <x:v>687510</x:v>
      </x:c>
      <x:c r="E12" s="2"/>
      <x:c r="F12" s="2"/>
      <x:c r="G12" s="70" t="n">
        <x:f>'Operations'!I9</x:f>
        <x:v>46447</x:v>
      </x:c>
      <x:c r="H12" s="71" t="n">
        <x:f>'Debt and Funding'!I36</x:f>
        <x:v>50603</x:v>
      </x:c>
      <x:c r="I12" s="71" t="n">
        <x:f>'Debt and Funding'!I37</x:f>
        <x:v>301809</x:v>
      </x:c>
      <x:c r="J12" s="71" t="n">
        <x:f>'Debt and Funding'!I33</x:f>
        <x:v>3900000</x:v>
      </x:c>
      <x:c r="K12" s="2"/>
      <x:c r="L12" s="2"/>
    </x:row>
    <x:row r="13" ht="21" customHeight="1">
      <x:c r="A13" s="2"/>
      <x:c r="B13" s="2"/>
      <x:c r="C13" s="2" t="str">
        <x:v>Annual reserve deposits</x:v>
      </x:c>
      <x:c r="D13" s="50" t="n">
        <x:f>'Operations'!E18</x:f>
        <x:v>28917</x:v>
      </x:c>
      <x:c r="E13" s="2"/>
      <x:c r="F13" s="2"/>
      <x:c r="G13" s="70" t="n">
        <x:f>'Operations'!J9</x:f>
        <x:v>46478</x:v>
      </x:c>
      <x:c r="H13" s="71" t="n">
        <x:f>'Debt and Funding'!J36</x:f>
        <x:v>50603</x:v>
      </x:c>
      <x:c r="I13" s="71" t="n">
        <x:f>'Debt and Funding'!J37</x:f>
        <x:v>352412</x:v>
      </x:c>
      <x:c r="J13" s="71" t="n">
        <x:f>'Debt and Funding'!J33</x:f>
        <x:v>3900000</x:v>
      </x:c>
      <x:c r="K13" s="2"/>
      <x:c r="L13" s="2"/>
    </x:row>
    <x:row r="14" ht="21" customHeight="1">
      <x:c r="A14" s="2"/>
      <x:c r="B14" s="2"/>
      <x:c r="C14" s="2" t="str">
        <x:v>Cash NCF before debt and capital</x:v>
      </x:c>
      <x:c r="D14" s="50" t="n">
        <x:f>'Operations'!E19</x:f>
        <x:v>658593</x:v>
      </x:c>
      <x:c r="E14" s="2"/>
      <x:c r="F14" s="2"/>
      <x:c r="G14" s="70" t="n">
        <x:f>'Operations'!K9</x:f>
        <x:v>46508</x:v>
      </x:c>
      <x:c r="H14" s="71" t="n">
        <x:f>'Debt and Funding'!K36</x:f>
        <x:v>-7078</x:v>
      </x:c>
      <x:c r="I14" s="71" t="n">
        <x:f>'Debt and Funding'!K37</x:f>
        <x:v>345334</x:v>
      </x:c>
      <x:c r="J14" s="71" t="n">
        <x:f>'Debt and Funding'!K33</x:f>
        <x:v>3900000</x:v>
      </x:c>
      <x:c r="K14" s="2"/>
      <x:c r="L14" s="2"/>
    </x:row>
    <x:row r="15" ht="21" customHeight="1">
      <x:c r="A15" s="2"/>
      <x:c r="B15" s="2"/>
      <x:c r="C15" s="2" t="str">
        <x:v>Annual underwritten NCF</x:v>
      </x:c>
      <x:c r="D15" s="50" t="n">
        <x:f>'Debt and Funding'!D9</x:f>
        <x:v>658593</x:v>
      </x:c>
      <x:c r="E15" s="2"/>
      <x:c r="F15" s="2"/>
      <x:c r="G15" s="70" t="n">
        <x:f>'Operations'!L9</x:f>
        <x:v>46539</x:v>
      </x:c>
      <x:c r="H15" s="71" t="n">
        <x:f>'Debt and Funding'!L36</x:f>
        <x:v>-7078</x:v>
      </x:c>
      <x:c r="I15" s="71" t="n">
        <x:f>'Debt and Funding'!L37</x:f>
        <x:v>338256</x:v>
      </x:c>
      <x:c r="J15" s="71" t="n">
        <x:f>'Debt and Funding'!L33</x:f>
        <x:v>3900000</x:v>
      </x:c>
      <x:c r="K15" s="2"/>
      <x:c r="L15" s="2"/>
    </x:row>
    <x:row r="16" ht="21" customHeight="1">
      <x:c r="A16" s="2"/>
      <x:c r="B16" s="2"/>
      <x:c r="C16" s="2" t="str">
        <x:v>DSCR loan capacity</x:v>
      </x:c>
      <x:c r="D16" s="50" t="n">
        <x:f>'Debt and Funding'!D11</x:f>
        <x:v>6502626.529074114</x:v>
      </x:c>
      <x:c r="E16" s="2"/>
      <x:c r="F16" s="2"/>
      <x:c r="G16" s="70" t="n">
        <x:f>'Operations'!M9</x:f>
        <x:v>46569</x:v>
      </x:c>
      <x:c r="H16" s="71" t="n">
        <x:f>'Debt and Funding'!M36</x:f>
        <x:v>-111386.07929255802</x:v>
      </x:c>
      <x:c r="I16" s="71" t="n">
        <x:f>'Debt and Funding'!M37</x:f>
        <x:v>226869.92070744198</x:v>
      </x:c>
      <x:c r="J16" s="71" t="n">
        <x:f>'Debt and Funding'!M33</x:f>
        <x:v>3894791.920707442</x:v>
      </x:c>
      <x:c r="K16" s="2"/>
      <x:c r="L16" s="2"/>
    </x:row>
    <x:row r="17" ht="21" customHeight="1">
      <x:c r="A17" s="2"/>
      <x:c r="B17" s="2"/>
      <x:c r="C17" s="2" t="str">
        <x:v>LTV loan capacity</x:v>
      </x:c>
      <x:c r="D17" s="50" t="n">
        <x:f>'Debt and Funding'!D12</x:f>
        <x:v>3900000</x:v>
      </x:c>
      <x:c r="E17" s="2"/>
      <x:c r="F17" s="2"/>
      <x:c r="G17" s="70" t="n">
        <x:f>'Operations'!N9</x:f>
        <x:v>46600</x:v>
      </x:c>
      <x:c r="H17" s="71" t="n">
        <x:f>'Debt and Funding'!N36</x:f>
        <x:v>45394.920707441976</x:v>
      </x:c>
      <x:c r="I17" s="71" t="n">
        <x:f>'Debt and Funding'!N37</x:f>
        <x:v>272264.84141488397</x:v>
      </x:c>
      <x:c r="J17" s="71" t="n">
        <x:f>'Debt and Funding'!N33</x:f>
        <x:v>3889555.6309853825</x:v>
      </x:c>
      <x:c r="K17" s="2"/>
      <x:c r="L17" s="2"/>
    </x:row>
    <x:row r="18" ht="21" customHeight="1">
      <x:c r="A18" s="2"/>
      <x:c r="B18" s="2"/>
      <x:c r="C18" s="2" t="str">
        <x:v>Debt-yield loan capacity</x:v>
      </x:c>
      <x:c r="D18" s="50" t="n">
        <x:f>'Debt and Funding'!D13</x:f>
        <x:v>7317700</x:v>
      </x:c>
      <x:c r="E18" s="2"/>
      <x:c r="F18" s="2"/>
      <x:c r="G18" s="70" t="n">
        <x:f>'Operations'!O9</x:f>
        <x:v>46631</x:v>
      </x:c>
      <x:c r="H18" s="71" t="n">
        <x:f>'Debt and Funding'!O36</x:f>
        <x:v>45394.920707441976</x:v>
      </x:c>
      <x:c r="I18" s="71" t="n">
        <x:f>'Debt and Funding'!O37</x:f>
        <x:v>317659.76212232595</x:v>
      </x:c>
      <x:c r="J18" s="71" t="n">
        <x:f>'Debt and Funding'!O33</x:f>
        <x:v>3884290.9780273284</x:v>
      </x:c>
      <x:c r="K18" s="2"/>
      <x:c r="L18" s="2"/>
    </x:row>
    <x:row r="19" ht="21" customHeight="1">
      <x:c r="A19" s="2"/>
      <x:c r="B19" s="2"/>
      <x:c r="C19" s="57" t="str">
        <x:v>Sized loan</x:v>
      </x:c>
      <x:c r="D19" s="67" t="n">
        <x:f>'Debt and Funding'!D14</x:f>
        <x:v>3900000</x:v>
      </x:c>
      <x:c r="E19" s="2"/>
      <x:c r="F19" s="2"/>
      <x:c r="G19" s="70" t="n">
        <x:f>'Operations'!P9</x:f>
        <x:v>46661</x:v>
      </x:c>
      <x:c r="H19" s="71" t="n">
        <x:f>'Debt and Funding'!P36</x:f>
        <x:v>45394.920707441976</x:v>
      </x:c>
      <x:c r="I19" s="71" t="n">
        <x:f>'Debt and Funding'!P37</x:f>
        <x:v>363054.68282976793</x:v>
      </x:c>
      <x:c r="J19" s="71" t="n">
        <x:f>'Debt and Funding'!P33</x:f>
        <x:v>3878997.808199085</x:v>
      </x:c>
      <x:c r="K19" s="2"/>
      <x:c r="L19" s="2"/>
    </x:row>
    <x:row r="20" ht="21" customHeight="1">
      <x:c r="A20" s="2"/>
      <x:c r="B20" s="2"/>
      <x:c r="C20" s="2" t="str">
        <x:v>Binding constraint (ties may exist)</x:v>
      </x:c>
      <x:c r="D20" s="68" t="str">
        <x:f>'Debt and Funding'!D15</x:f>
        <x:v>LTV</x:v>
      </x:c>
      <x:c r="E20" s="2"/>
      <x:c r="F20" s="2"/>
      <x:c r="G20" s="70" t="n">
        <x:f>'Operations'!Q9</x:f>
        <x:v>46692</x:v>
      </x:c>
      <x:c r="H20" s="71" t="n">
        <x:f>'Debt and Funding'!Q36</x:f>
        <x:v>45394.920707441976</x:v>
      </x:c>
      <x:c r="I20" s="71" t="n">
        <x:f>'Debt and Funding'!Q37</x:f>
        <x:v>408449.6035372099</x:v>
      </x:c>
      <x:c r="J20" s="71" t="n">
        <x:f>'Debt and Funding'!Q33</x:f>
        <x:v>3873675.967034272</x:v>
      </x:c>
      <x:c r="K20" s="2"/>
      <x:c r="L20" s="2"/>
    </x:row>
    <x:row r="21" ht="21" customHeight="1">
      <x:c r="A21" s="2"/>
      <x:c r="B21" s="2"/>
      <x:c r="C21" s="2" t="str">
        <x:v>First-year debt service</x:v>
      </x:c>
      <x:c r="D21" s="50" t="n">
        <x:f>'Debt and Funding'!D43</x:f>
        <x:v>284748.4757553481</x:v>
      </x:c>
      <x:c r="E21" s="2"/>
      <x:c r="F21" s="2"/>
      <x:c r="G21" s="70" t="n">
        <x:f>'Operations'!R9</x:f>
        <x:v>46722</x:v>
      </x:c>
      <x:c r="H21" s="71" t="n">
        <x:f>'Debt and Funding'!R36</x:f>
        <x:v>45394.920707441976</x:v>
      </x:c>
      <x:c r="I21" s="71" t="n">
        <x:f>'Debt and Funding'!R37</x:f>
        <x:v>453844.5242446519</x:v>
      </x:c>
      <x:c r="J21" s="71" t="n">
        <x:f>'Debt and Funding'!R33</x:f>
        <x:v>3868325.299229816</x:v>
      </x:c>
      <x:c r="K21" s="2"/>
      <x:c r="L21" s="2"/>
    </x:row>
    <x:row r="22" ht="21" customHeight="1">
      <x:c r="A22" s="2"/>
      <x:c r="B22" s="2"/>
      <x:c r="C22" s="2" t="str">
        <x:v>First-year underwritten DSCR</x:v>
      </x:c>
      <x:c r="D22" s="69" t="n">
        <x:f>'Debt and Funding'!D44</x:f>
        <x:v>2.3128938557193677</x:v>
      </x:c>
      <x:c r="E22" s="2"/>
      <x:c r="F22" s="2"/>
      <x:c r="G22" s="2"/>
      <x:c r="H22" s="2"/>
      <x:c r="I22" s="2"/>
      <x:c r="J22" s="2"/>
      <x:c r="K22" s="2"/>
      <x:c r="L22" s="2"/>
    </x:row>
    <x:row r="23" ht="21" customHeight="1">
      <x:c r="A23" s="2"/>
      <x:c r="B23" s="2"/>
      <x:c r="C23" s="2" t="str">
        <x:v>Signed closing equity requirement</x:v>
      </x:c>
      <x:c r="D23" s="50" t="n">
        <x:f>'Debt and Funding'!D18</x:f>
        <x:v>2000000</x:v>
      </x:c>
      <x:c r="E23" s="2"/>
      <x:c r="F23" s="2"/>
      <x:c r="G23" s="2"/>
      <x:c r="H23" s="2"/>
      <x:c r="I23" s="2"/>
      <x:c r="J23" s="2"/>
      <x:c r="K23" s="2"/>
      <x:c r="L23" s="2"/>
    </x:row>
    <x:row r="24" ht="21" customHeight="1">
      <x:c r="A24" s="2"/>
      <x:c r="B24" s="2"/>
      <x:c r="C24" s="2" t="str">
        <x:v>Available equity less closing need</x:v>
      </x:c>
      <x:c r="D24" s="50" t="n">
        <x:f>'Debt and Funding'!D19</x:f>
        <x:v>500000</x:v>
      </x:c>
      <x:c r="E24" s="2"/>
      <x:c r="F24" s="2"/>
      <x:c r="G24" s="2"/>
      <x:c r="H24" s="2"/>
      <x:c r="I24" s="2"/>
      <x:c r="J24" s="2"/>
      <x:c r="K24" s="2"/>
      <x:c r="L24" s="2"/>
    </x:row>
    <x:row r="25" ht="21" customHeight="1">
      <x:c r="A25" s="2"/>
      <x:c r="B25" s="2"/>
      <x:c r="C25" s="2" t="str">
        <x:v>Additional operating cash need</x:v>
      </x:c>
      <x:c r="D25" s="50" t="n">
        <x:f>'Debt and Funding'!D46</x:f>
        <x:v>0</x:v>
      </x:c>
      <x:c r="E25" s="2"/>
      <x:c r="F25" s="2"/>
      <x:c r="G25" s="2" t="str">
        <x:v>Start with Assumptions D5: 1 Base or 2 Downside.</x:v>
      </x:c>
      <x:c r="H25" s="2"/>
      <x:c r="I25" s="2"/>
      <x:c r="J25" s="2"/>
      <x:c r="K25" s="2"/>
      <x:c r="L25" s="2"/>
    </x:row>
    <x:row r="26" ht="21" customHeight="1">
      <x:c r="A26" s="2"/>
      <x:c r="B26" s="2"/>
      <x:c r="C26" s="57" t="str">
        <x:v>Sponsor cash after all modeled needs</x:v>
      </x:c>
      <x:c r="D26" s="67" t="n">
        <x:f>'Debt and Funding'!D47</x:f>
        <x:v>500000</x:v>
      </x:c>
      <x:c r="E26" s="2"/>
      <x:c r="F26" s="2"/>
      <x:c r="G26" s="2"/>
      <x:c r="H26" s="2"/>
      <x:c r="I26" s="2"/>
      <x:c r="J26" s="2"/>
      <x:c r="K26" s="2"/>
      <x:c r="L26" s="2"/>
    </x:row>
    <x:row r="27" ht="21" customHeight="1">
      <x:c r="A27" s="2"/>
      <x:c r="B27" s="2"/>
      <x:c r="C27" s="2" t="str">
        <x:v>Year-end principal</x:v>
      </x:c>
      <x:c r="D27" s="50" t="n">
        <x:f>'Debt and Funding'!D45</x:f>
        <x:v>3868325.299229816</x:v>
      </x:c>
      <x:c r="E27" s="2"/>
      <x:c r="F27" s="2"/>
      <x:c r="G27" s="2" t="str">
        <x:v>Edit blue cells in Academic Leasing and Assumptions.</x:v>
      </x:c>
      <x:c r="H27" s="2"/>
      <x:c r="I27" s="2"/>
      <x:c r="J27" s="2"/>
      <x:c r="K27" s="2"/>
      <x:c r="L27" s="2"/>
    </x:row>
    <x:row r="28" ht="21" customHeight="1">
      <x:c r="A28" s="2"/>
      <x:c r="B28" s="2"/>
      <x:c r="C28" s="2" t="str">
        <x:v>Principal due at maturity</x:v>
      </x:c>
      <x:c r="D28" s="50" t="n">
        <x:f>'Debt and Funding'!D20</x:f>
        <x:v>3574327.7897744942</x:v>
      </x:c>
      <x:c r="E28" s="2"/>
      <x:c r="F28" s="2"/>
      <x:c r="G28" s="2"/>
      <x:c r="H28" s="2"/>
      <x:c r="I28" s="2"/>
      <x:c r="J28" s="2"/>
      <x:c r="K28" s="2"/>
      <x:c r="L28" s="2"/>
    </x:row>
    <x:row r="29" ht="21" customHeight="1">
      <x:c r="A29" s="2"/>
      <x:c r="B29" s="2"/>
      <x:c r="C29" s="2"/>
      <x:c r="D29" s="2"/>
      <x:c r="E29" s="2"/>
      <x:c r="F29" s="2"/>
      <x:c r="G29" s="2" t="str">
        <x:v>Trace monthly operations into Debt and Funding.</x:v>
      </x:c>
      <x:c r="H29" s="2"/>
      <x:c r="I29" s="2"/>
      <x:c r="J29" s="2"/>
      <x:c r="K29" s="2"/>
      <x:c r="L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1" customHeight="1">
      <x:c r="A31" s="2"/>
      <x:c r="B31" s="2"/>
      <x:c r="C31" s="2"/>
      <x:c r="D31" s="2"/>
      <x:c r="E31" s="2"/>
      <x:c r="F31" s="2"/>
      <x:c r="G31" s="2" t="str">
        <x:v>Review unavailable outputs and the Review checks.</x:v>
      </x:c>
      <x:c r="H31" s="2"/>
      <x:c r="I31" s="2"/>
      <x:c r="J31" s="2"/>
      <x:c r="K31" s="2"/>
      <x:c r="L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1" customHeight="1">
      <x:c r="A33" s="2"/>
      <x:c r="B33" s="2"/>
      <x:c r="C33" s="2"/>
      <x:c r="D33" s="2"/>
      <x:c r="E33" s="2"/>
      <x:c r="F33" s="2"/>
      <x:c r="G33" s="2" t="str">
        <x:v>Sizing is quantitative capacity, subject to actual lender approval.</x:v>
      </x:c>
      <x:c r="H33" s="2"/>
      <x:c r="I33" s="2"/>
      <x:c r="J33" s="2"/>
      <x:c r="K33" s="2"/>
      <x:c r="L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</x:sheetData>
  <x:conditionalFormatting sqref="D14:D14">
    <x:cfRule type="cellIs" dxfId="2" priority="1" operator="lessThan">
      <x:formula>0</x:formula>
    </x:cfRule>
  </x:conditionalFormatting>
  <x:conditionalFormatting sqref="D24:D24">
    <x:cfRule type="cellIs" dxfId="3" priority="2" operator="lessThan">
      <x:formula>0</x:formula>
    </x:cfRule>
  </x:conditionalFormatting>
  <x:conditionalFormatting sqref="D26:D26">
    <x:cfRule type="cellIs" dxfId="4" priority="3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1768A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8" hidden="0" customWidth="1"/>
    <x:col min="4" max="4" width="18" hidden="0" customWidth="1"/>
    <x:col min="5" max="5" width="15" hidden="0" customWidth="1"/>
    <x:col min="6" max="6" width="3" hidden="0" customWidth="1"/>
    <x:col min="7" max="7" width="65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Assumptions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selector (1 Base, 2 Downside)</x:v>
      </x:c>
      <x:c r="D5" s="12" t="n">
        <x:v>1</x:v>
      </x:c>
      <x:c r="E5" s="2"/>
      <x:c r="F5" s="2"/>
      <x:c r="G5" s="2" t="str">
        <x:v>Source: all numbers are illustrative teaching assumptions.</x:v>
      </x:c>
      <x:c r="H5" s="2"/>
      <x:c r="I5" s="2"/>
      <x:c r="J5" s="2"/>
    </x:row>
    <x:row r="6" ht="21" customHeight="1">
      <x:c r="A6" s="2"/>
      <x:c r="B6" s="2"/>
      <x:c r="C6" s="2"/>
      <x:c r="D6" s="13" t="str">
        <x:f>IF(D5=1,"Base",IF(D5=2,"Downside","Select 1 or 2"))</x:f>
        <x:v>Base</x:v>
      </x:c>
      <x:c r="E6" s="2"/>
      <x:c r="F6" s="2"/>
      <x:c r="G6" s="2" t="str">
        <x:v>Blue text / amber fill: editable. Black: formula. Green: linked.</x:v>
      </x:c>
      <x:c r="H6" s="2"/>
      <x:c r="I6" s="2"/>
      <x:c r="J6" s="2"/>
    </x:row>
    <x:row r="7" ht="21" customHeight="1">
      <x:c r="A7" s="2"/>
      <x:c r="B7" s="2"/>
      <x:c r="C7" s="2" t="str">
        <x:v>Illustrative calendar year</x:v>
      </x:c>
      <x:c r="D7" s="17" t="n">
        <x:v>2027</x:v>
      </x:c>
      <x:c r="E7" s="2"/>
      <x:c r="F7" s="2"/>
      <x:c r="G7" s="2" t="str">
        <x:v>Enter percentages as Excel percentages (6.5% = 0.065).</x:v>
      </x:c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Driver and selected value</x:v>
      </x:c>
      <x:c r="D9" s="21" t="str">
        <x:v>Value</x:v>
      </x:c>
      <x:c r="E9" s="21" t="str">
        <x:v>Unit</x:v>
      </x:c>
      <x:c r="F9" s="2"/>
      <x:c r="G9" s="2"/>
      <x:c r="H9" s="2"/>
      <x:c r="I9" s="2"/>
      <x:c r="J9" s="2"/>
    </x:row>
    <x:row r="10" ht="35" customHeight="1">
      <x:c r="A10" s="2"/>
      <x:c r="B10" s="2"/>
      <x:c r="C10" s="24" t="str">
        <x:v>Property value</x:v>
      </x:c>
      <x:c r="D10" s="26" t="n">
        <x:f>IF($D$5=1,IF(ISNUMBER(D11),IF(AND(D11&gt;=0,D11&lt;=1000000000000),D11,"n.a."),"n.a."),IF($D$5=2,IF(ISNUMBER(D12),IF(AND(D12&gt;=0,D12&lt;=1000000000000),D12,"n.a."),"n.a."),"n.a."))</x:f>
        <x:v>6000000</x:v>
      </x:c>
      <x:c r="E10" s="22" t="str">
        <x:v>USD</x:v>
      </x:c>
      <x:c r="F10" s="2"/>
      <x:c r="G10" s="42" t="str">
        <x:v>All costs are positive inputs; calculated cash shortfalls remain negative.</x:v>
      </x:c>
      <x:c r="H10" s="2"/>
      <x:c r="I10" s="2"/>
      <x:c r="J10" s="2"/>
    </x:row>
    <x:row r="11" ht="21" customHeight="1">
      <x:c r="A11" s="2"/>
      <x:c r="B11" s="2"/>
      <x:c r="C11" s="28" t="str">
        <x:v>Base</x:v>
      </x:c>
      <x:c r="D11" s="27" t="n">
        <x:v>6000000</x:v>
      </x:c>
      <x:c r="E11" s="2"/>
      <x:c r="F11" s="2"/>
      <x:c r="G11" s="2"/>
      <x:c r="H11" s="2"/>
      <x:c r="I11" s="2"/>
      <x:c r="J11" s="2"/>
    </x:row>
    <x:row r="12" ht="35" customHeight="1">
      <x:c r="A12" s="2"/>
      <x:c r="B12" s="2"/>
      <x:c r="C12" s="28" t="str">
        <x:v>Downside</x:v>
      </x:c>
      <x:c r="D12" s="27" t="n">
        <x:v>5200000</x:v>
      </x:c>
      <x:c r="E12" s="2"/>
      <x:c r="F12" s="2"/>
      <x:c r="G12" s="42" t="str">
        <x:v>Missing or invalid selected inputs return n.a.; a valid zero remains zero.</x:v>
      </x:c>
      <x:c r="H12" s="2"/>
      <x:c r="I12" s="2"/>
      <x:c r="J12" s="2"/>
    </x:row>
    <x:row r="13" ht="21" customHeight="1">
      <x:c r="A13" s="2"/>
      <x:c r="B13" s="2"/>
      <x:c r="C13" s="24" t="str">
        <x:v>Acquisition price</x:v>
      </x:c>
      <x:c r="D13" s="26" t="n">
        <x:f>IF($D$5=1,IF(ISNUMBER(D14),IF(AND(D14&gt;=0,D14&lt;=1000000000000),D14,"n.a."),"n.a."),IF($D$5=2,IF(ISNUMBER(D15),IF(AND(D15&gt;=0,D15&lt;=1000000000000),D15,"n.a."),"n.a."),"n.a."))</x:f>
        <x:v>5500000</x:v>
      </x:c>
      <x:c r="E13" s="22" t="str">
        <x:v>USD</x:v>
      </x:c>
      <x:c r="F13" s="2"/>
      <x:c r="G13" s="2"/>
      <x:c r="H13" s="2"/>
      <x:c r="I13" s="2"/>
      <x:c r="J13" s="2"/>
    </x:row>
    <x:row r="14" ht="35" customHeight="1">
      <x:c r="A14" s="2"/>
      <x:c r="B14" s="2"/>
      <x:c r="C14" s="28" t="str">
        <x:v>Base</x:v>
      </x:c>
      <x:c r="D14" s="27" t="n">
        <x:v>5500000</x:v>
      </x:c>
      <x:c r="E14" s="2"/>
      <x:c r="F14" s="2"/>
      <x:c r="G14" s="42" t="str">
        <x:v>Downside inputs feed the same model. Change D5 to recalculate.</x:v>
      </x:c>
      <x:c r="H14" s="2"/>
      <x:c r="I14" s="2"/>
      <x:c r="J14" s="2"/>
    </x:row>
    <x:row r="15" ht="21" customHeight="1">
      <x:c r="A15" s="2"/>
      <x:c r="B15" s="2"/>
      <x:c r="C15" s="28" t="str">
        <x:v>Downside</x:v>
      </x:c>
      <x:c r="D15" s="27" t="n">
        <x:v>5500000</x:v>
      </x:c>
      <x:c r="E15" s="2"/>
      <x:c r="F15" s="2"/>
      <x:c r="G15" s="2"/>
      <x:c r="H15" s="2"/>
      <x:c r="I15" s="2"/>
      <x:c r="J15" s="2"/>
    </x:row>
    <x:row r="16" ht="35" customHeight="1">
      <x:c r="A16" s="2"/>
      <x:c r="B16" s="2"/>
      <x:c r="C16" s="24" t="str">
        <x:v>Closing costs</x:v>
      </x:c>
      <x:c r="D16" s="26" t="n">
        <x:f>IF($D$5=1,IF(ISNUMBER(D17),IF(AND(D17&gt;=0,D17&lt;=1000000000000),D17,"n.a."),"n.a."),IF($D$5=2,IF(ISNUMBER(D18),IF(AND(D18&gt;=0,D18&lt;=1000000000000),D18,"n.a."),"n.a."),"n.a."))</x:f>
        <x:v>150000</x:v>
      </x:c>
      <x:c r="E16" s="22" t="str">
        <x:v>USD</x:v>
      </x:c>
      <x:c r="F16" s="2"/>
      <x:c r="G16" s="42" t="str">
        <x:v>NCF adjustment changes sizing only, not cash actually available.</x:v>
      </x:c>
      <x:c r="H16" s="2"/>
      <x:c r="I16" s="2"/>
      <x:c r="J16" s="2"/>
    </x:row>
    <x:row r="17" ht="21" customHeight="1">
      <x:c r="A17" s="2"/>
      <x:c r="B17" s="2"/>
      <x:c r="C17" s="28" t="str">
        <x:v>Base</x:v>
      </x:c>
      <x:c r="D17" s="27" t="n">
        <x:v>150000</x:v>
      </x:c>
      <x:c r="E17" s="2"/>
      <x:c r="F17" s="2"/>
      <x:c r="G17" s="2"/>
      <x:c r="H17" s="2"/>
      <x:c r="I17" s="2"/>
      <x:c r="J17" s="2"/>
    </x:row>
    <x:row r="18" ht="35" customHeight="1">
      <x:c r="A18" s="2"/>
      <x:c r="B18" s="2"/>
      <x:c r="C18" s="28" t="str">
        <x:v>Downside</x:v>
      </x:c>
      <x:c r="D18" s="27" t="n">
        <x:v>150000</x:v>
      </x:c>
      <x:c r="E18" s="2"/>
      <x:c r="F18" s="2"/>
      <x:c r="G18" s="42" t="str">
        <x:v>Current debt service may be IO; DSCR capacity uses amortizing service.</x:v>
      </x:c>
      <x:c r="H18" s="2"/>
      <x:c r="I18" s="2"/>
      <x:c r="J18" s="2"/>
    </x:row>
    <x:row r="19" ht="21" customHeight="1">
      <x:c r="A19" s="2"/>
      <x:c r="B19" s="2"/>
      <x:c r="C19" s="24" t="str">
        <x:v>Restricted closing reserves</x:v>
      </x:c>
      <x:c r="D19" s="26" t="n">
        <x:f>IF($D$5=1,IF(ISNUMBER(D20),IF(AND(D20&gt;=0,D20&lt;=1000000000000),D20,"n.a."),"n.a."),IF($D$5=2,IF(ISNUMBER(D21),IF(AND(D21&gt;=0,D21&lt;=1000000000000),D21,"n.a."),"n.a."),"n.a."))</x:f>
        <x:v>100000</x:v>
      </x:c>
      <x:c r="E19" s="22" t="str">
        <x:v>USD</x:v>
      </x:c>
      <x:c r="F19" s="2"/>
      <x:c r="G19" s="2"/>
      <x:c r="H19" s="2"/>
      <x:c r="I19" s="2"/>
      <x:c r="J19" s="2"/>
    </x:row>
    <x:row r="20" ht="35" customHeight="1">
      <x:c r="A20" s="2"/>
      <x:c r="B20" s="2"/>
      <x:c r="C20" s="28" t="str">
        <x:v>Base</x:v>
      </x:c>
      <x:c r="D20" s="27" t="n">
        <x:v>100000</x:v>
      </x:c>
      <x:c r="E20" s="2"/>
      <x:c r="F20" s="2"/>
      <x:c r="G20" s="42" t="str">
        <x:v>Restricted closing reserves are not available operating cash.</x:v>
      </x:c>
      <x:c r="H20" s="2"/>
      <x:c r="I20" s="2"/>
      <x:c r="J20" s="2"/>
    </x:row>
    <x:row r="21" ht="21" customHeight="1">
      <x:c r="A21" s="2"/>
      <x:c r="B21" s="2"/>
      <x:c r="C21" s="28" t="str">
        <x:v>Downside</x:v>
      </x:c>
      <x:c r="D21" s="27" t="n">
        <x:v>100000</x:v>
      </x:c>
      <x:c r="E21" s="2"/>
      <x:c r="F21" s="2"/>
      <x:c r="G21" s="2"/>
      <x:c r="H21" s="2"/>
      <x:c r="I21" s="2"/>
      <x:c r="J21" s="2"/>
    </x:row>
    <x:row r="22" ht="35" customHeight="1">
      <x:c r="A22" s="2"/>
      <x:c r="B22" s="2"/>
      <x:c r="C22" s="24" t="str">
        <x:v>Opening operating cash</x:v>
      </x:c>
      <x:c r="D22" s="26" t="n">
        <x:f>IF($D$5=1,IF(ISNUMBER(D23),IF(AND(D23&gt;=0,D23&lt;=1000000000000),D23,"n.a."),"n.a."),IF($D$5=2,IF(ISNUMBER(D24),IF(AND(D24&gt;=0,D24&lt;=1000000000000),D24,"n.a."),"n.a."),"n.a."))</x:f>
        <x:v>150000</x:v>
      </x:c>
      <x:c r="E22" s="22" t="str">
        <x:v>USD</x:v>
      </x:c>
      <x:c r="F22" s="2"/>
      <x:c r="G22" s="42" t="str">
        <x:v>Opening operating cash is funded in closing uses exactly once.</x:v>
      </x:c>
      <x:c r="H22" s="2"/>
      <x:c r="I22" s="2"/>
      <x:c r="J22" s="2"/>
    </x:row>
    <x:row r="23" ht="21" customHeight="1">
      <x:c r="A23" s="2"/>
      <x:c r="B23" s="2"/>
      <x:c r="C23" s="28" t="str">
        <x:v>Base</x:v>
      </x:c>
      <x:c r="D23" s="27" t="n">
        <x:v>150000</x:v>
      </x:c>
      <x:c r="E23" s="2"/>
      <x:c r="F23" s="2"/>
      <x:c r="G23" s="2"/>
      <x:c r="H23" s="2"/>
      <x:c r="I23" s="2"/>
      <x:c r="J23" s="2"/>
    </x:row>
    <x:row r="24" ht="35" customHeight="1">
      <x:c r="A24" s="2"/>
      <x:c r="B24" s="2"/>
      <x:c r="C24" s="28" t="str">
        <x:v>Downside</x:v>
      </x:c>
      <x:c r="D24" s="27" t="n">
        <x:v>150000</x:v>
      </x:c>
      <x:c r="E24" s="2"/>
      <x:c r="F24" s="2"/>
      <x:c r="G24" s="42" t="str">
        <x:v>Reserve deposits use nonnegative revenue; negative revenue never creates a reserve cash credit.</x:v>
      </x:c>
      <x:c r="H24" s="2"/>
      <x:c r="I24" s="2"/>
      <x:c r="J24" s="2"/>
    </x:row>
    <x:row r="25" ht="21" customHeight="1">
      <x:c r="A25" s="2"/>
      <x:c r="B25" s="2"/>
      <x:c r="C25" s="24" t="str">
        <x:v>Available sponsor equity</x:v>
      </x:c>
      <x:c r="D25" s="26" t="n">
        <x:f>IF($D$5=1,IF(ISNUMBER(D26),IF(AND(D26&gt;=0,D26&lt;=1000000000000),D26,"n.a."),"n.a."),IF($D$5=2,IF(ISNUMBER(D27),IF(AND(D27&gt;=0,D27&lt;=1000000000000),D27,"n.a."),"n.a."),"n.a."))</x:f>
        <x:v>2500000</x:v>
      </x:c>
      <x:c r="E25" s="22" t="str">
        <x:v>USD</x:v>
      </x:c>
      <x:c r="F25" s="2"/>
      <x:c r="G25" s="2"/>
      <x:c r="H25" s="2"/>
      <x:c r="I25" s="2"/>
      <x:c r="J25" s="2"/>
    </x:row>
    <x:row r="26" ht="21" customHeight="1">
      <x:c r="A26" s="2"/>
      <x:c r="B26" s="2"/>
      <x:c r="C26" s="28" t="str">
        <x:v>Base</x:v>
      </x:c>
      <x:c r="D26" s="27" t="n">
        <x:v>2500000</x:v>
      </x:c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8" t="str">
        <x:v>Downside</x:v>
      </x:c>
      <x:c r="D27" s="27" t="n">
        <x:v>2500000</x:v>
      </x:c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4" t="str">
        <x:v>Requested loan ceiling</x:v>
      </x:c>
      <x:c r="D28" s="26" t="n">
        <x:f>IF($D$5=1,IF(ISNUMBER(D29),IF(AND(D29&gt;=0,D29&lt;=1000000000000),D29,"n.a."),"n.a."),IF($D$5=2,IF(ISNUMBER(D30),IF(AND(D30&gt;=0,D30&lt;=1000000000000),D30,"n.a."),"n.a."),"n.a."))</x:f>
        <x:v>4000000</x:v>
      </x:c>
      <x:c r="E28" s="22" t="str">
        <x:v>USD</x:v>
      </x:c>
      <x:c r="F28" s="2"/>
      <x:c r="G28" s="2"/>
      <x:c r="H28" s="2"/>
      <x:c r="I28" s="2"/>
      <x:c r="J28" s="2"/>
    </x:row>
    <x:row r="29" ht="21" customHeight="1">
      <x:c r="A29" s="2"/>
      <x:c r="B29" s="2"/>
      <x:c r="C29" s="28" t="str">
        <x:v>Base</x:v>
      </x:c>
      <x:c r="D29" s="27" t="n">
        <x:v>4000000</x:v>
      </x:c>
      <x:c r="E29" s="2"/>
      <x:c r="F29" s="2"/>
      <x:c r="G29" s="2"/>
      <x:c r="H29" s="2"/>
      <x:c r="I29" s="2"/>
      <x:c r="J29" s="2"/>
    </x:row>
    <x:row r="30" ht="75" customHeight="1">
      <x:c r="A30" s="2"/>
      <x:c r="B30" s="2"/>
      <x:c r="C30" s="28" t="str">
        <x:v>Downside</x:v>
      </x:c>
      <x:c r="D30" s="27" t="n">
        <x:v>4000000</x:v>
      </x:c>
      <x:c r="E30" s="2"/>
      <x:c r="F30" s="2"/>
      <x:c r="G30" s="42" t="str">
        <x:v>May–July use the summer paying fraction; all other months use the academic fraction. These are illustrative collection periods, not a universal school calendar. Turn concessions and physical turn costs are separate.</x:v>
      </x:c>
      <x:c r="H30" s="2"/>
      <x:c r="I30" s="2"/>
      <x:c r="J30" s="2"/>
    </x:row>
    <x:row r="31" ht="21" customHeight="1">
      <x:c r="A31" s="2"/>
      <x:c r="B31" s="2"/>
      <x:c r="C31" s="31" t="str">
        <x:v>Annual note rate</x:v>
      </x:c>
      <x:c r="D31" s="32" t="n">
        <x:f>IF($D$5=1,IF(ISNUMBER(D32),IF(AND(D32&gt;=0,D32&lt;=1),D32,"n.a."),"n.a."),IF($D$5=2,IF(ISNUMBER(D33),IF(AND(D33&gt;=0,D33&lt;=1),D33,"n.a."),"n.a."),"n.a."))</x:f>
        <x:v>0.065</x:v>
      </x:c>
      <x:c r="E31" s="33" t="str">
        <x:v>%</x:v>
      </x:c>
      <x:c r="F31" s="2"/>
      <x:c r="G31" s="2"/>
      <x:c r="H31" s="2"/>
      <x:c r="I31" s="2"/>
      <x:c r="J31" s="2"/>
    </x:row>
    <x:row r="32" ht="21" customHeight="1">
      <x:c r="A32" s="2"/>
      <x:c r="B32" s="2"/>
      <x:c r="C32" s="34" t="str">
        <x:v>Base</x:v>
      </x:c>
      <x:c r="D32" s="35" t="n">
        <x:v>0.065</x:v>
      </x:c>
      <x:c r="E32" s="36"/>
      <x:c r="F32" s="2"/>
      <x:c r="G32" s="2"/>
      <x:c r="H32" s="2"/>
      <x:c r="I32" s="2"/>
      <x:c r="J32" s="2"/>
    </x:row>
    <x:row r="33" ht="21" customHeight="1">
      <x:c r="A33" s="2"/>
      <x:c r="B33" s="2"/>
      <x:c r="C33" s="34" t="str">
        <x:v>Downside</x:v>
      </x:c>
      <x:c r="D33" s="35" t="n">
        <x:v>0.08</x:v>
      </x:c>
      <x:c r="E33" s="36"/>
      <x:c r="F33" s="2"/>
      <x:c r="G33" s="2"/>
      <x:c r="H33" s="2"/>
      <x:c r="I33" s="2"/>
      <x:c r="J33" s="2"/>
    </x:row>
    <x:row r="34" ht="21" customHeight="1">
      <x:c r="A34" s="2"/>
      <x:c r="B34" s="2"/>
      <x:c r="C34" s="24" t="str">
        <x:v>Amortization after IO (years)</x:v>
      </x:c>
      <x:c r="D34" s="37" t="n">
        <x:f>IF($D$5=1,IF(ISNUMBER(D35),IF(AND(D35&gt;=1,D35&lt;=50,D35=INT(D35)),D35,"n.a."),"n.a."),IF($D$5=2,IF(ISNUMBER(D36),IF(AND(D36&gt;=1,D36&lt;=50,D36=INT(D36)),D36,"n.a."),"n.a."),"n.a."))</x:f>
        <x:v>25</x:v>
      </x:c>
      <x:c r="E34" s="22" t="str">
        <x:v>years</x:v>
      </x:c>
      <x:c r="F34" s="2"/>
      <x:c r="G34" s="2"/>
      <x:c r="H34" s="2"/>
      <x:c r="I34" s="2"/>
      <x:c r="J34" s="2"/>
    </x:row>
    <x:row r="35" ht="21" customHeight="1">
      <x:c r="A35" s="2"/>
      <x:c r="B35" s="2"/>
      <x:c r="C35" s="28" t="str">
        <x:v>Base</x:v>
      </x:c>
      <x:c r="D35" s="16" t="n">
        <x:v>25</x:v>
      </x:c>
      <x:c r="E35" s="2"/>
      <x:c r="F35" s="2"/>
      <x:c r="G35" s="2"/>
      <x:c r="H35" s="2"/>
      <x:c r="I35" s="2"/>
      <x:c r="J35" s="2"/>
    </x:row>
    <x:row r="36" ht="21" customHeight="1">
      <x:c r="A36" s="2"/>
      <x:c r="B36" s="2"/>
      <x:c r="C36" s="28" t="str">
        <x:v>Downside</x:v>
      </x:c>
      <x:c r="D36" s="16" t="n">
        <x:v>25</x:v>
      </x:c>
      <x:c r="E36" s="2"/>
      <x:c r="F36" s="2"/>
      <x:c r="G36" s="2"/>
      <x:c r="H36" s="2"/>
      <x:c r="I36" s="2"/>
      <x:c r="J36" s="2"/>
    </x:row>
    <x:row r="37" ht="21" customHeight="1">
      <x:c r="A37" s="2"/>
      <x:c r="B37" s="2"/>
      <x:c r="C37" s="24" t="str">
        <x:v>Initial interest-only months</x:v>
      </x:c>
      <x:c r="D37" s="37" t="n">
        <x:f>IF($D$5=1,IF(ISNUMBER(D38),IF(AND(D38&gt;=0,D38&lt;=12,D38=INT(D38)),D38,"n.a."),"n.a."),IF($D$5=2,IF(ISNUMBER(D39),IF(AND(D39&gt;=0,D39&lt;=12,D39=INT(D39)),D39,"n.a."),"n.a."),"n.a."))</x:f>
        <x:v>6</x:v>
      </x:c>
      <x:c r="E37" s="22" t="str">
        <x:v>months</x:v>
      </x:c>
      <x:c r="F37" s="2"/>
      <x:c r="G37" s="2"/>
      <x:c r="H37" s="2"/>
      <x:c r="I37" s="2"/>
      <x:c r="J37" s="2"/>
    </x:row>
    <x:row r="38" ht="21" customHeight="1">
      <x:c r="A38" s="2"/>
      <x:c r="B38" s="2"/>
      <x:c r="C38" s="28" t="str">
        <x:v>Base</x:v>
      </x:c>
      <x:c r="D38" s="16" t="n">
        <x:v>6</x:v>
      </x:c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8" t="str">
        <x:v>Downside</x:v>
      </x:c>
      <x:c r="D39" s="16" t="n">
        <x:v>6</x:v>
      </x:c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4" t="str">
        <x:v>Loan term (months)</x:v>
      </x:c>
      <x:c r="D40" s="37" t="n">
        <x:f>IF($D$5=1,IF(ISNUMBER(D41),IF(AND(D41&gt;=12,D41&lt;=600,D41=INT(D41)),D41,"n.a."),"n.a."),IF($D$5=2,IF(ISNUMBER(D42),IF(AND(D42&gt;=12,D42&lt;=600,D42=INT(D42)),D42,"n.a."),"n.a."),"n.a."))</x:f>
        <x:v>60</x:v>
      </x:c>
      <x:c r="E40" s="22" t="str">
        <x:v>months</x:v>
      </x:c>
      <x:c r="F40" s="2"/>
      <x:c r="G40" s="2"/>
      <x:c r="H40" s="2"/>
      <x:c r="I40" s="2"/>
      <x:c r="J40" s="2"/>
    </x:row>
    <x:row r="41" ht="21" customHeight="1">
      <x:c r="A41" s="2"/>
      <x:c r="B41" s="2"/>
      <x:c r="C41" s="28" t="str">
        <x:v>Base</x:v>
      </x:c>
      <x:c r="D41" s="16" t="n">
        <x:v>60</x:v>
      </x:c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8" t="str">
        <x:v>Downside</x:v>
      </x:c>
      <x:c r="D42" s="16" t="n">
        <x:v>60</x:v>
      </x:c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31" t="str">
        <x:v>Maximum LTV</x:v>
      </x:c>
      <x:c r="D43" s="32" t="n">
        <x:f>IF($D$5=1,IF(ISNUMBER(D44),IF(AND(D44&gt;=0,D44&lt;=1),D44,"n.a."),"n.a."),IF($D$5=2,IF(ISNUMBER(D45),IF(AND(D45&gt;=0,D45&lt;=1),D45,"n.a."),"n.a."),"n.a."))</x:f>
        <x:v>0.65</x:v>
      </x:c>
      <x:c r="E43" s="33" t="str">
        <x:v>%</x:v>
      </x:c>
      <x:c r="F43" s="2"/>
      <x:c r="G43" s="2"/>
      <x:c r="H43" s="2"/>
      <x:c r="I43" s="2"/>
      <x:c r="J43" s="2"/>
    </x:row>
    <x:row r="44" ht="21" customHeight="1">
      <x:c r="A44" s="2"/>
      <x:c r="B44" s="2"/>
      <x:c r="C44" s="34" t="str">
        <x:v>Base</x:v>
      </x:c>
      <x:c r="D44" s="35" t="n">
        <x:v>0.65</x:v>
      </x:c>
      <x:c r="E44" s="36"/>
      <x:c r="F44" s="2"/>
      <x:c r="G44" s="2"/>
      <x:c r="H44" s="2"/>
      <x:c r="I44" s="2"/>
      <x:c r="J44" s="2"/>
    </x:row>
    <x:row r="45" ht="21" customHeight="1">
      <x:c r="A45" s="2"/>
      <x:c r="B45" s="2"/>
      <x:c r="C45" s="34" t="str">
        <x:v>Downside</x:v>
      </x:c>
      <x:c r="D45" s="35" t="n">
        <x:v>0.6</x:v>
      </x:c>
      <x:c r="E45" s="36"/>
      <x:c r="F45" s="2"/>
      <x:c r="G45" s="2"/>
      <x:c r="H45" s="2"/>
      <x:c r="I45" s="2"/>
      <x:c r="J45" s="2"/>
    </x:row>
    <x:row r="46" ht="21" customHeight="1">
      <x:c r="A46" s="2"/>
      <x:c r="B46" s="2"/>
      <x:c r="C46" s="31" t="str">
        <x:v>Minimum sizing DSCR</x:v>
      </x:c>
      <x:c r="D46" s="40" t="n">
        <x:f>IF($D$5=1,IF(ISNUMBER(D47),IF(AND(D47&gt;=0.01,D47&lt;=10),D47,"n.a."),"n.a."),IF($D$5=2,IF(ISNUMBER(D48),IF(AND(D48&gt;=0.01,D48&lt;=10),D48,"n.a."),"n.a."),"n.a."))</x:f>
        <x:v>1.25</x:v>
      </x:c>
      <x:c r="E46" s="33" t="str">
        <x:v>x</x:v>
      </x:c>
      <x:c r="F46" s="2"/>
      <x:c r="G46" s="2"/>
      <x:c r="H46" s="2"/>
      <x:c r="I46" s="2"/>
      <x:c r="J46" s="2"/>
    </x:row>
    <x:row r="47" ht="21" customHeight="1">
      <x:c r="A47" s="2"/>
      <x:c r="B47" s="2"/>
      <x:c r="C47" s="34" t="str">
        <x:v>Base</x:v>
      </x:c>
      <x:c r="D47" s="41" t="n">
        <x:v>1.25</x:v>
      </x:c>
      <x:c r="E47" s="36"/>
      <x:c r="F47" s="2"/>
      <x:c r="G47" s="2"/>
      <x:c r="H47" s="2"/>
      <x:c r="I47" s="2"/>
      <x:c r="J47" s="2"/>
    </x:row>
    <x:row r="48" ht="21" customHeight="1">
      <x:c r="A48" s="2"/>
      <x:c r="B48" s="2"/>
      <x:c r="C48" s="34" t="str">
        <x:v>Downside</x:v>
      </x:c>
      <x:c r="D48" s="41" t="n">
        <x:v>1.3</x:v>
      </x:c>
      <x:c r="E48" s="36"/>
      <x:c r="F48" s="2"/>
      <x:c r="G48" s="2"/>
      <x:c r="H48" s="2"/>
      <x:c r="I48" s="2"/>
      <x:c r="J48" s="2"/>
    </x:row>
    <x:row r="49" ht="21" customHeight="1">
      <x:c r="A49" s="2"/>
      <x:c r="B49" s="2"/>
      <x:c r="C49" s="31" t="str">
        <x:v>Minimum debt yield</x:v>
      </x:c>
      <x:c r="D49" s="32" t="n">
        <x:f>IF($D$5=1,IF(ISNUMBER(D50),IF(AND(D50&gt;=0.0001,D50&lt;=1),D50,"n.a."),"n.a."),IF($D$5=2,IF(ISNUMBER(D51),IF(AND(D51&gt;=0.0001,D51&lt;=1),D51,"n.a."),"n.a."),"n.a."))</x:f>
        <x:v>0.09</x:v>
      </x:c>
      <x:c r="E49" s="33" t="str">
        <x:v>%</x:v>
      </x:c>
      <x:c r="F49" s="2"/>
      <x:c r="G49" s="2"/>
      <x:c r="H49" s="2"/>
      <x:c r="I49" s="2"/>
      <x:c r="J49" s="2"/>
    </x:row>
    <x:row r="50" ht="21" customHeight="1">
      <x:c r="A50" s="2"/>
      <x:c r="B50" s="2"/>
      <x:c r="C50" s="34" t="str">
        <x:v>Base</x:v>
      </x:c>
      <x:c r="D50" s="35" t="n">
        <x:v>0.09</x:v>
      </x:c>
      <x:c r="E50" s="36"/>
      <x:c r="F50" s="2"/>
      <x:c r="G50" s="2"/>
      <x:c r="H50" s="2"/>
      <x:c r="I50" s="2"/>
      <x:c r="J50" s="2"/>
    </x:row>
    <x:row r="51" ht="21" customHeight="1">
      <x:c r="A51" s="2"/>
      <x:c r="B51" s="2"/>
      <x:c r="C51" s="34" t="str">
        <x:v>Downside</x:v>
      </x:c>
      <x:c r="D51" s="35" t="n">
        <x:v>0.1</x:v>
      </x:c>
      <x:c r="E51" s="36"/>
      <x:c r="F51" s="2"/>
      <x:c r="G51" s="2"/>
      <x:c r="H51" s="2"/>
      <x:c r="I51" s="2"/>
      <x:c r="J51" s="2"/>
    </x:row>
    <x:row r="52" ht="21" customHeight="1">
      <x:c r="A52" s="2"/>
      <x:c r="B52" s="2"/>
      <x:c r="C52" s="24" t="str">
        <x:v>Annual lender NCF adjustment</x:v>
      </x:c>
      <x:c r="D52" s="26" t="n">
        <x:f>IF($D$5=1,IF(ISNUMBER(D53),IF(AND(D53&gt;=-1000000000000,D53&lt;=1000000000000),D53,"n.a."),"n.a."),IF($D$5=2,IF(ISNUMBER(D54),IF(AND(D54&gt;=-1000000000000,D54&lt;=1000000000000),D54,"n.a."),"n.a."),"n.a."))</x:f>
        <x:v>0</x:v>
      </x:c>
      <x:c r="E52" s="22" t="str">
        <x:v>USD</x:v>
      </x:c>
      <x:c r="F52" s="2"/>
      <x:c r="G52" s="2"/>
      <x:c r="H52" s="2"/>
      <x:c r="I52" s="2"/>
      <x:c r="J52" s="2"/>
    </x:row>
    <x:row r="53" ht="21" customHeight="1">
      <x:c r="A53" s="2"/>
      <x:c r="B53" s="2"/>
      <x:c r="C53" s="28" t="str">
        <x:v>Base</x:v>
      </x:c>
      <x:c r="D53" s="27" t="n">
        <x:v>0</x:v>
      </x:c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8" t="str">
        <x:v>Downside</x:v>
      </x:c>
      <x:c r="D54" s="27" t="n">
        <x:v>-25000</x:v>
      </x:c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4" t="str">
        <x:v>Annual fixed operating costs</x:v>
      </x:c>
      <x:c r="D55" s="26" t="n">
        <x:f>IF($D$5=1,IF(ISNUMBER(D56),IF(AND(D56&gt;=0,D56&lt;=1000000000000),D56,"n.a."),"n.a."),IF($D$5=2,IF(ISNUMBER(D57),IF(AND(D57&gt;=0,D57&lt;=1000000000000),D57,"n.a."),"n.a."),"n.a."))</x:f>
        <x:v>180000</x:v>
      </x:c>
      <x:c r="E55" s="22" t="str">
        <x:v>USD</x:v>
      </x:c>
      <x:c r="F55" s="2"/>
      <x:c r="G55" s="2"/>
      <x:c r="H55" s="2"/>
      <x:c r="I55" s="2"/>
      <x:c r="J55" s="2"/>
    </x:row>
    <x:row r="56" ht="21" customHeight="1">
      <x:c r="A56" s="2"/>
      <x:c r="B56" s="2"/>
      <x:c r="C56" s="28" t="str">
        <x:v>Base</x:v>
      </x:c>
      <x:c r="D56" s="27" t="n">
        <x:v>180000</x:v>
      </x:c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8" t="str">
        <x:v>Downside</x:v>
      </x:c>
      <x:c r="D57" s="27" t="n">
        <x:v>198000</x:v>
      </x:c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31" t="str">
        <x:v>Replacement reserve / revenue</x:v>
      </x:c>
      <x:c r="D58" s="32" t="n">
        <x:f>IF($D$5=1,IF(ISNUMBER(D59),IF(AND(D59&gt;=0,D59&lt;=1),D59,"n.a."),"n.a."),IF($D$5=2,IF(ISNUMBER(D60),IF(AND(D60&gt;=0,D60&lt;=1),D60,"n.a."),"n.a."),"n.a."))</x:f>
        <x:v>0.03</x:v>
      </x:c>
      <x:c r="E58" s="33" t="str">
        <x:v>%</x:v>
      </x:c>
      <x:c r="F58" s="2"/>
      <x:c r="G58" s="2"/>
      <x:c r="H58" s="2"/>
      <x:c r="I58" s="2"/>
      <x:c r="J58" s="2"/>
    </x:row>
    <x:row r="59" ht="21" customHeight="1">
      <x:c r="A59" s="2"/>
      <x:c r="B59" s="2"/>
      <x:c r="C59" s="34" t="str">
        <x:v>Base</x:v>
      </x:c>
      <x:c r="D59" s="35" t="n">
        <x:v>0.03</x:v>
      </x:c>
      <x:c r="E59" s="36"/>
      <x:c r="F59" s="2"/>
      <x:c r="G59" s="2"/>
      <x:c r="H59" s="2"/>
      <x:c r="I59" s="2"/>
      <x:c r="J59" s="2"/>
    </x:row>
    <x:row r="60" ht="21" customHeight="1">
      <x:c r="A60" s="2"/>
      <x:c r="B60" s="2"/>
      <x:c r="C60" s="34" t="str">
        <x:v>Downside</x:v>
      </x:c>
      <x:c r="D60" s="35" t="n">
        <x:v>0.04</x:v>
      </x:c>
      <x:c r="E60" s="36"/>
      <x:c r="F60" s="2"/>
      <x:c r="G60" s="2"/>
      <x:c r="H60" s="2"/>
      <x:c r="I60" s="2"/>
      <x:c r="J60" s="2"/>
    </x:row>
    <x:row r="61" ht="21" customHeight="1">
      <x:c r="A61" s="2"/>
      <x:c r="B61" s="2"/>
      <x:c r="C61" s="31" t="str">
        <x:v>Activity multiplier</x:v>
      </x:c>
      <x:c r="D61" s="40" t="n">
        <x:f>IF($D$5=1,IF(ISNUMBER(D62),IF(AND(D62&gt;=0,D62&lt;=2),D62,"n.a."),"n.a."),IF($D$5=2,IF(ISNUMBER(D63),IF(AND(D63&gt;=0,D63&lt;=2),D63,"n.a."),"n.a."),"n.a."))</x:f>
        <x:v>1</x:v>
      </x:c>
      <x:c r="E61" s="33" t="str">
        <x:v>x</x:v>
      </x:c>
      <x:c r="F61" s="2"/>
      <x:c r="G61" s="2"/>
      <x:c r="H61" s="2"/>
      <x:c r="I61" s="2"/>
      <x:c r="J61" s="2"/>
    </x:row>
    <x:row r="62" ht="21" customHeight="1">
      <x:c r="A62" s="2"/>
      <x:c r="B62" s="2"/>
      <x:c r="C62" s="34" t="str">
        <x:v>Base</x:v>
      </x:c>
      <x:c r="D62" s="41" t="n">
        <x:v>1</x:v>
      </x:c>
      <x:c r="E62" s="36"/>
      <x:c r="F62" s="2"/>
      <x:c r="G62" s="2"/>
      <x:c r="H62" s="2"/>
      <x:c r="I62" s="2"/>
      <x:c r="J62" s="2"/>
    </x:row>
    <x:row r="63" ht="21" customHeight="1">
      <x:c r="A63" s="2"/>
      <x:c r="B63" s="2"/>
      <x:c r="C63" s="34" t="str">
        <x:v>Downside</x:v>
      </x:c>
      <x:c r="D63" s="41" t="n">
        <x:v>0.9</x:v>
      </x:c>
      <x:c r="E63" s="36"/>
      <x:c r="F63" s="2"/>
      <x:c r="G63" s="2"/>
      <x:c r="H63" s="2"/>
      <x:c r="I63" s="2"/>
      <x:c r="J63" s="2"/>
    </x:row>
    <x:row r="64" ht="21" customHeight="1">
      <x:c r="A64" s="2"/>
      <x:c r="B64" s="2"/>
      <x:c r="C64" s="31" t="str">
        <x:v>Price / rent multiplier</x:v>
      </x:c>
      <x:c r="D64" s="40" t="n">
        <x:f>IF($D$5=1,IF(ISNUMBER(D65),IF(AND(D65&gt;=0,D65&lt;=2),D65,"n.a."),"n.a."),IF($D$5=2,IF(ISNUMBER(D66),IF(AND(D66&gt;=0,D66&lt;=2),D66,"n.a."),"n.a."),"n.a."))</x:f>
        <x:v>1</x:v>
      </x:c>
      <x:c r="E64" s="33" t="str">
        <x:v>x</x:v>
      </x:c>
      <x:c r="F64" s="2"/>
      <x:c r="G64" s="2"/>
      <x:c r="H64" s="2"/>
      <x:c r="I64" s="2"/>
      <x:c r="J64" s="2"/>
    </x:row>
    <x:row r="65" ht="21" customHeight="1">
      <x:c r="A65" s="2"/>
      <x:c r="B65" s="2"/>
      <x:c r="C65" s="34" t="str">
        <x:v>Base</x:v>
      </x:c>
      <x:c r="D65" s="41" t="n">
        <x:v>1</x:v>
      </x:c>
      <x:c r="E65" s="36"/>
      <x:c r="F65" s="2"/>
      <x:c r="G65" s="2"/>
      <x:c r="H65" s="2"/>
      <x:c r="I65" s="2"/>
      <x:c r="J65" s="2"/>
    </x:row>
    <x:row r="66" ht="21" customHeight="1">
      <x:c r="A66" s="2"/>
      <x:c r="B66" s="2"/>
      <x:c r="C66" s="34" t="str">
        <x:v>Downside</x:v>
      </x:c>
      <x:c r="D66" s="41" t="n">
        <x:v>0.95</x:v>
      </x:c>
      <x:c r="E66" s="36"/>
      <x:c r="F66" s="2"/>
      <x:c r="G66" s="2"/>
      <x:c r="H66" s="2"/>
      <x:c r="I66" s="2"/>
      <x:c r="J66" s="2"/>
    </x:row>
    <x:row r="67" ht="21" customHeight="1">
      <x:c r="A67" s="2"/>
      <x:c r="B67" s="2"/>
      <x:c r="C67" s="31" t="str">
        <x:v>Variable cost multiplier</x:v>
      </x:c>
      <x:c r="D67" s="40" t="n">
        <x:f>IF($D$5=1,IF(ISNUMBER(D68),IF(AND(D68&gt;=0,D68&lt;=3),D68,"n.a."),"n.a."),IF($D$5=2,IF(ISNUMBER(D69),IF(AND(D69&gt;=0,D69&lt;=3),D69,"n.a."),"n.a."),"n.a."))</x:f>
        <x:v>1</x:v>
      </x:c>
      <x:c r="E67" s="33" t="str">
        <x:v>x</x:v>
      </x:c>
      <x:c r="F67" s="2"/>
      <x:c r="G67" s="2"/>
      <x:c r="H67" s="2"/>
      <x:c r="I67" s="2"/>
      <x:c r="J67" s="2"/>
    </x:row>
    <x:row r="68" ht="21" customHeight="1">
      <x:c r="A68" s="2"/>
      <x:c r="B68" s="2"/>
      <x:c r="C68" s="34" t="str">
        <x:v>Base</x:v>
      </x:c>
      <x:c r="D68" s="41" t="n">
        <x:v>1</x:v>
      </x:c>
      <x:c r="E68" s="36"/>
      <x:c r="F68" s="2"/>
      <x:c r="G68" s="2"/>
      <x:c r="H68" s="2"/>
      <x:c r="I68" s="2"/>
      <x:c r="J68" s="2"/>
    </x:row>
    <x:row r="69" ht="21" customHeight="1">
      <x:c r="A69" s="2"/>
      <x:c r="B69" s="2"/>
      <x:c r="C69" s="34" t="str">
        <x:v>Downside</x:v>
      </x:c>
      <x:c r="D69" s="41" t="n">
        <x:v>1.1</x:v>
      </x:c>
      <x:c r="E69" s="36"/>
      <x:c r="F69" s="2"/>
      <x:c r="G69" s="2"/>
      <x:c r="H69" s="2"/>
      <x:c r="I69" s="2"/>
      <x:c r="J69" s="2"/>
    </x:row>
    <x:row r="70" ht="21" customHeight="1">
      <x:c r="A70" s="2"/>
      <x:c r="B70" s="2"/>
      <x:c r="C70" s="31" t="str">
        <x:v>Capital-work multiplier</x:v>
      </x:c>
      <x:c r="D70" s="40" t="n">
        <x:f>IF($D$5=1,IF(ISNUMBER(D71),IF(AND(D71&gt;=0,D71&lt;=3),D71,"n.a."),"n.a."),IF($D$5=2,IF(ISNUMBER(D72),IF(AND(D72&gt;=0,D72&lt;=3),D72,"n.a."),"n.a."),"n.a."))</x:f>
        <x:v>1</x:v>
      </x:c>
      <x:c r="E70" s="33" t="str">
        <x:v>x</x:v>
      </x:c>
      <x:c r="F70" s="2"/>
      <x:c r="G70" s="2"/>
      <x:c r="H70" s="2"/>
      <x:c r="I70" s="2"/>
      <x:c r="J70" s="2"/>
    </x:row>
    <x:row r="71" ht="21" customHeight="1">
      <x:c r="A71" s="2"/>
      <x:c r="B71" s="2"/>
      <x:c r="C71" s="34" t="str">
        <x:v>Base</x:v>
      </x:c>
      <x:c r="D71" s="41" t="n">
        <x:v>1</x:v>
      </x:c>
      <x:c r="E71" s="36"/>
      <x:c r="F71" s="2"/>
      <x:c r="G71" s="2"/>
      <x:c r="H71" s="2"/>
      <x:c r="I71" s="2"/>
      <x:c r="J71" s="2"/>
    </x:row>
    <x:row r="72" ht="21" customHeight="1">
      <x:c r="A72" s="2"/>
      <x:c r="B72" s="2"/>
      <x:c r="C72" s="34" t="str">
        <x:v>Downside</x:v>
      </x:c>
      <x:c r="D72" s="41" t="n">
        <x:v>1.2</x:v>
      </x:c>
      <x:c r="E72" s="36"/>
      <x:c r="F72" s="2"/>
      <x:c r="G72" s="2"/>
      <x:c r="H72" s="2"/>
      <x:c r="I72" s="2"/>
      <x:c r="J72" s="2"/>
    </x:row>
    <x:row r="73" ht="21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21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21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21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21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21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</x:sheetData>
  <x:dataValidations count="44">
    <x:dataValidation type="list" sqref="D5">
      <x:formula1>"1,2"</x:formula1>
    </x:dataValidation>
    <x:dataValidation type="decimal" operator="between" sqref="D7">
      <x:formula1>2000</x:formula1>
      <x:formula2>2100</x:formula2>
    </x:dataValidation>
    <x:dataValidation type="decimal" operator="between" sqref="D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D23">
      <x:formula1>0</x:formula1>
      <x:formula2>1000000000000</x:formula2>
    </x:dataValidation>
    <x:dataValidation type="decimal" operator="between" sqref="D24">
      <x:formula1>0</x:formula1>
      <x:formula2>1000000000000</x:formula2>
    </x:dataValidation>
    <x:dataValidation type="decimal" operator="between" sqref="D26">
      <x:formula1>0</x:formula1>
      <x:formula2>1000000000000</x:formula2>
    </x:dataValidation>
    <x:dataValidation type="decimal" operator="between" sqref="D27">
      <x:formula1>0</x:formula1>
      <x:formula2>1000000000000</x:formula2>
    </x:dataValidation>
    <x:dataValidation type="decimal" operator="between" sqref="D29">
      <x:formula1>0</x:formula1>
      <x:formula2>1000000000000</x:formula2>
    </x:dataValidation>
    <x:dataValidation type="decimal" operator="between" sqref="D30">
      <x:formula1>0</x:formula1>
      <x:formula2>1000000000000</x:formula2>
    </x:dataValidation>
    <x:dataValidation type="decimal" operator="between" sqref="D32">
      <x:formula1>0</x:formula1>
      <x:formula2>1</x:formula2>
    </x:dataValidation>
    <x:dataValidation type="decimal" operator="between" sqref="D33">
      <x:formula1>0</x:formula1>
      <x:formula2>1</x:formula2>
    </x:dataValidation>
    <x:dataValidation type="decimal" operator="between" sqref="D35">
      <x:formula1>1</x:formula1>
      <x:formula2>50</x:formula2>
    </x:dataValidation>
    <x:dataValidation type="decimal" operator="between" sqref="D36">
      <x:formula1>1</x:formula1>
      <x:formula2>50</x:formula2>
    </x:dataValidation>
    <x:dataValidation type="decimal" operator="between" sqref="D38">
      <x:formula1>0</x:formula1>
      <x:formula2>12</x:formula2>
    </x:dataValidation>
    <x:dataValidation type="decimal" operator="between" sqref="D39">
      <x:formula1>0</x:formula1>
      <x:formula2>12</x:formula2>
    </x:dataValidation>
    <x:dataValidation type="decimal" operator="between" sqref="D41">
      <x:formula1>12</x:formula1>
      <x:formula2>600</x:formula2>
    </x:dataValidation>
    <x:dataValidation type="decimal" operator="between" sqref="D42">
      <x:formula1>12</x:formula1>
      <x:formula2>600</x:formula2>
    </x:dataValidation>
    <x:dataValidation type="decimal" operator="between" sqref="D44">
      <x:formula1>0</x:formula1>
      <x:formula2>1</x:formula2>
    </x:dataValidation>
    <x:dataValidation type="decimal" operator="between" sqref="D45">
      <x:formula1>0</x:formula1>
      <x:formula2>1</x:formula2>
    </x:dataValidation>
    <x:dataValidation type="decimal" operator="between" sqref="D47">
      <x:formula1>0.01</x:formula1>
      <x:formula2>10</x:formula2>
    </x:dataValidation>
    <x:dataValidation type="decimal" operator="between" sqref="D48">
      <x:formula1>0.01</x:formula1>
      <x:formula2>10</x:formula2>
    </x:dataValidation>
    <x:dataValidation type="decimal" operator="between" sqref="D50">
      <x:formula1>0.0001</x:formula1>
      <x:formula2>1</x:formula2>
    </x:dataValidation>
    <x:dataValidation type="decimal" operator="between" sqref="D51">
      <x:formula1>0.0001</x:formula1>
      <x:formula2>1</x:formula2>
    </x:dataValidation>
    <x:dataValidation type="decimal" operator="between" sqref="D53">
      <x:formula1>-1000000000000</x:formula1>
      <x:formula2>1000000000000</x:formula2>
    </x:dataValidation>
    <x:dataValidation type="decimal" operator="between" sqref="D54">
      <x:formula1>-1000000000000</x:formula1>
      <x:formula2>1000000000000</x:formula2>
    </x:dataValidation>
    <x:dataValidation type="decimal" operator="between" sqref="D56">
      <x:formula1>0</x:formula1>
      <x:formula2>1000000000000</x:formula2>
    </x:dataValidation>
    <x:dataValidation type="decimal" operator="between" sqref="D57">
      <x:formula1>0</x:formula1>
      <x:formula2>1000000000000</x:formula2>
    </x:dataValidation>
    <x:dataValidation type="decimal" operator="between" sqref="D59">
      <x:formula1>0</x:formula1>
      <x:formula2>1</x:formula2>
    </x:dataValidation>
    <x:dataValidation type="decimal" operator="between" sqref="D60">
      <x:formula1>0</x:formula1>
      <x:formula2>1</x:formula2>
    </x:dataValidation>
    <x:dataValidation type="decimal" operator="between" sqref="D62">
      <x:formula1>0</x:formula1>
      <x:formula2>2</x:formula2>
    </x:dataValidation>
    <x:dataValidation type="decimal" operator="between" sqref="D63">
      <x:formula1>0</x:formula1>
      <x:formula2>2</x:formula2>
    </x:dataValidation>
    <x:dataValidation type="decimal" operator="between" sqref="D65">
      <x:formula1>0</x:formula1>
      <x:formula2>2</x:formula2>
    </x:dataValidation>
    <x:dataValidation type="decimal" operator="between" sqref="D66">
      <x:formula1>0</x:formula1>
      <x:formula2>2</x:formula2>
    </x:dataValidation>
    <x:dataValidation type="decimal" operator="between" sqref="D68">
      <x:formula1>0</x:formula1>
      <x:formula2>3</x:formula2>
    </x:dataValidation>
    <x:dataValidation type="decimal" operator="between" sqref="D69">
      <x:formula1>0</x:formula1>
      <x:formula2>3</x:formula2>
    </x:dataValidation>
    <x:dataValidation type="decimal" operator="between" sqref="D71">
      <x:formula1>0</x:formula1>
      <x:formula2>3</x:formula2>
    </x:dataValidation>
    <x:dataValidation type="decimal" operator="between" sqref="D72">
      <x:formula1>0</x:formula1>
      <x:formula2>3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16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28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1" customHeight="1">
      <x:c r="A2" s="2"/>
      <x:c r="B2" s="2"/>
      <x:c r="C2" s="3" t="str">
        <x:v>Academic Leasing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1" customHeight="1">
      <x:c r="A7" s="2"/>
      <x:c r="B7" s="2"/>
      <x:c r="C7" s="2" t="str">
        <x:v>All entries below are illustrative inputs. Replace with verified property records.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0" customHeight="1">
      <x:c r="A9" s="2"/>
      <x:c r="B9" s="2"/>
      <x:c r="C9" s="21" t="str">
        <x:v>Month</x:v>
      </x:c>
      <x:c r="D9" s="21" t="str">
        <x:v>Beds</x:v>
      </x:c>
      <x:c r="E9" s="21" t="str">
        <x:v>Monthly bed rent</x:v>
      </x:c>
      <x:c r="F9" s="21" t="str">
        <x:v>Paying academic fraction</x:v>
      </x:c>
      <x:c r="G9" s="21" t="str">
        <x:v>Summer paying fraction</x:v>
      </x:c>
      <x:c r="H9" s="21" t="str">
        <x:v>Turned beds</x:v>
      </x:c>
      <x:c r="I9" s="21" t="str">
        <x:v>Turn capital / bed</x:v>
      </x:c>
      <x:c r="J9" s="21" t="str">
        <x:v>Concession per turned bed</x:v>
      </x:c>
      <x:c r="K9" s="21" t="str">
        <x:v>Service cost / occupied bed</x:v>
      </x:c>
      <x:c r="L9" s="21" t="str">
        <x:v>Other collections</x:v>
      </x:c>
      <x:c r="M9" s="2"/>
      <x:c r="N9" s="21" t="str">
        <x:v>Input status</x:v>
      </x:c>
      <x:c r="O9" s="2"/>
      <x:c r="P9" s="2"/>
    </x:row>
    <x:row r="10" ht="21" customHeight="1">
      <x:c r="A10" s="2"/>
      <x:c r="B10" s="2"/>
      <x:c r="C10" s="43" t="n">
        <x:f>IF(ISNUMBER('Assumptions'!D7),IF(AND('Assumptions'!D7=INT('Assumptions'!D7),'Assumptions'!D7&gt;=2000,'Assumptions'!D7&lt;=2100),DATE('Assumptions'!D7,1,1),"n.a."),"n.a.")</x:f>
        <x:v>46388</x:v>
      </x:c>
      <x:c r="D10" s="16" t="n">
        <x:v>120</x:v>
      </x:c>
      <x:c r="E10" s="27" t="n">
        <x:v>850</x:v>
      </x:c>
      <x:c r="F10" s="30" t="n">
        <x:v>0.95</x:v>
      </x:c>
      <x:c r="G10" s="30" t="n">
        <x:v>0.95</x:v>
      </x:c>
      <x:c r="H10" s="16" t="n">
        <x:v>0</x:v>
      </x:c>
      <x:c r="I10" s="27" t="n">
        <x:v>700</x:v>
      </x:c>
      <x:c r="J10" s="27" t="n">
        <x:v>300</x:v>
      </x:c>
      <x:c r="K10" s="27" t="n">
        <x:v>85</x:v>
      </x:c>
      <x:c r="L10" s="27" t="n">
        <x:v>2500</x:v>
      </x:c>
      <x:c r="M10" s="2"/>
      <x:c r="N10" s="13" t="str">
        <x:f>IF(AND(IF(ISNUMBER(D10),AND(D10&gt;=0,D10&lt;=1000000000000),FALSE),IF(ISNUMBER(E10),AND(E10&gt;=0,E10&lt;=1000000000000),FALSE),IF(ISNUMBER(F10),AND(F10&gt;=0,F10&lt;=1),FALSE),IF(ISNUMBER(G10),AND(G10&gt;=0,G10&lt;=1),FALSE),IF(ISNUMBER(H10),AND(H10&gt;=0,H10&lt;=1000000000000),FALSE),IF(ISNUMBER(I10),AND(I10&gt;=0,I10&lt;=1000000000000),FALSE),IF(ISNUMBER(J10),AND(J10&gt;=0,J10&lt;=1000000000000),FALSE),IF(ISNUMBER(K10),AND(K10&gt;=0,K10&lt;=1000000000000),FALSE),IF(ISNUMBER(L10),AND(L10&gt;=0,L10&lt;=1000000000000),FALSE)),"OK","Missing / invalid input")</x:f>
        <x:v>OK</x:v>
      </x:c>
      <x:c r="O10" s="2"/>
      <x:c r="P10" s="2"/>
    </x:row>
    <x:row r="11" ht="21" customHeight="1">
      <x:c r="A11" s="2"/>
      <x:c r="B11" s="2"/>
      <x:c r="C11" s="43" t="n">
        <x:f>IF(ISNUMBER('Assumptions'!D7),IF(AND('Assumptions'!D7=INT('Assumptions'!D7),'Assumptions'!D7&gt;=2000,'Assumptions'!D7&lt;=2100),DATE('Assumptions'!D7,2,1),"n.a."),"n.a.")</x:f>
        <x:v>46419</x:v>
      </x:c>
      <x:c r="D11" s="16" t="n">
        <x:v>120</x:v>
      </x:c>
      <x:c r="E11" s="27" t="n">
        <x:v>850</x:v>
      </x:c>
      <x:c r="F11" s="30" t="n">
        <x:v>0.95</x:v>
      </x:c>
      <x:c r="G11" s="30" t="n">
        <x:v>0.95</x:v>
      </x:c>
      <x:c r="H11" s="16" t="n">
        <x:v>0</x:v>
      </x:c>
      <x:c r="I11" s="27" t="n">
        <x:v>700</x:v>
      </x:c>
      <x:c r="J11" s="27" t="n">
        <x:v>300</x:v>
      </x:c>
      <x:c r="K11" s="27" t="n">
        <x:v>85</x:v>
      </x:c>
      <x:c r="L11" s="27" t="n">
        <x:v>2500</x:v>
      </x:c>
      <x:c r="M11" s="2"/>
      <x:c r="N11" s="13" t="str">
        <x:f>IF(AND(IF(ISNUMBER(D11),AND(D11&gt;=0,D11&lt;=1000000000000),FALSE),IF(ISNUMBER(E11),AND(E11&gt;=0,E11&lt;=1000000000000),FALSE),IF(ISNUMBER(F11),AND(F11&gt;=0,F11&lt;=1),FALSE),IF(ISNUMBER(G11),AND(G11&gt;=0,G11&lt;=1),FALSE),IF(ISNUMBER(H11),AND(H11&gt;=0,H11&lt;=1000000000000),FALSE),IF(ISNUMBER(I11),AND(I11&gt;=0,I11&lt;=1000000000000),FALSE),IF(ISNUMBER(J11),AND(J11&gt;=0,J11&lt;=1000000000000),FALSE),IF(ISNUMBER(K11),AND(K11&gt;=0,K11&lt;=1000000000000),FALSE),IF(ISNUMBER(L11),AND(L11&gt;=0,L11&lt;=1000000000000),FALSE)),"OK","Missing / invalid input")</x:f>
        <x:v>OK</x:v>
      </x:c>
      <x:c r="O11" s="2"/>
      <x:c r="P11" s="2"/>
    </x:row>
    <x:row r="12" ht="21" customHeight="1">
      <x:c r="A12" s="2"/>
      <x:c r="B12" s="2"/>
      <x:c r="C12" s="43" t="n">
        <x:f>IF(ISNUMBER('Assumptions'!D7),IF(AND('Assumptions'!D7=INT('Assumptions'!D7),'Assumptions'!D7&gt;=2000,'Assumptions'!D7&lt;=2100),DATE('Assumptions'!D7,3,1),"n.a."),"n.a.")</x:f>
        <x:v>46447</x:v>
      </x:c>
      <x:c r="D12" s="16" t="n">
        <x:v>120</x:v>
      </x:c>
      <x:c r="E12" s="27" t="n">
        <x:v>850</x:v>
      </x:c>
      <x:c r="F12" s="30" t="n">
        <x:v>0.95</x:v>
      </x:c>
      <x:c r="G12" s="30" t="n">
        <x:v>0.95</x:v>
      </x:c>
      <x:c r="H12" s="16" t="n">
        <x:v>0</x:v>
      </x:c>
      <x:c r="I12" s="27" t="n">
        <x:v>700</x:v>
      </x:c>
      <x:c r="J12" s="27" t="n">
        <x:v>300</x:v>
      </x:c>
      <x:c r="K12" s="27" t="n">
        <x:v>85</x:v>
      </x:c>
      <x:c r="L12" s="27" t="n">
        <x:v>2500</x:v>
      </x:c>
      <x:c r="M12" s="2"/>
      <x:c r="N12" s="13" t="str">
        <x:f>IF(AND(IF(ISNUMBER(D12),AND(D12&gt;=0,D12&lt;=1000000000000),FALSE),IF(ISNUMBER(E12),AND(E12&gt;=0,E12&lt;=1000000000000),FALSE),IF(ISNUMBER(F12),AND(F12&gt;=0,F12&lt;=1),FALSE),IF(ISNUMBER(G12),AND(G12&gt;=0,G12&lt;=1),FALSE),IF(ISNUMBER(H12),AND(H12&gt;=0,H12&lt;=1000000000000),FALSE),IF(ISNUMBER(I12),AND(I12&gt;=0,I12&lt;=1000000000000),FALSE),IF(ISNUMBER(J12),AND(J12&gt;=0,J12&lt;=1000000000000),FALSE),IF(ISNUMBER(K12),AND(K12&gt;=0,K12&lt;=1000000000000),FALSE),IF(ISNUMBER(L12),AND(L12&gt;=0,L12&lt;=1000000000000),FALSE)),"OK","Missing / invalid input")</x:f>
        <x:v>OK</x:v>
      </x:c>
      <x:c r="O12" s="2"/>
      <x:c r="P12" s="2"/>
    </x:row>
    <x:row r="13" ht="21" customHeight="1">
      <x:c r="A13" s="2"/>
      <x:c r="B13" s="2"/>
      <x:c r="C13" s="43" t="n">
        <x:f>IF(ISNUMBER('Assumptions'!D7),IF(AND('Assumptions'!D7=INT('Assumptions'!D7),'Assumptions'!D7&gt;=2000,'Assumptions'!D7&lt;=2100),DATE('Assumptions'!D7,4,1),"n.a."),"n.a.")</x:f>
        <x:v>46478</x:v>
      </x:c>
      <x:c r="D13" s="16" t="n">
        <x:v>120</x:v>
      </x:c>
      <x:c r="E13" s="27" t="n">
        <x:v>850</x:v>
      </x:c>
      <x:c r="F13" s="30" t="n">
        <x:v>0.95</x:v>
      </x:c>
      <x:c r="G13" s="30" t="n">
        <x:v>0.95</x:v>
      </x:c>
      <x:c r="H13" s="16" t="n">
        <x:v>0</x:v>
      </x:c>
      <x:c r="I13" s="27" t="n">
        <x:v>700</x:v>
      </x:c>
      <x:c r="J13" s="27" t="n">
        <x:v>300</x:v>
      </x:c>
      <x:c r="K13" s="27" t="n">
        <x:v>85</x:v>
      </x:c>
      <x:c r="L13" s="27" t="n">
        <x:v>2500</x:v>
      </x:c>
      <x:c r="M13" s="2"/>
      <x:c r="N13" s="13" t="str">
        <x:f>IF(AND(IF(ISNUMBER(D13),AND(D13&gt;=0,D13&lt;=1000000000000),FALSE),IF(ISNUMBER(E13),AND(E13&gt;=0,E13&lt;=1000000000000),FALSE),IF(ISNUMBER(F13),AND(F13&gt;=0,F13&lt;=1),FALSE),IF(ISNUMBER(G13),AND(G13&gt;=0,G13&lt;=1),FALSE),IF(ISNUMBER(H13),AND(H13&gt;=0,H13&lt;=1000000000000),FALSE),IF(ISNUMBER(I13),AND(I13&gt;=0,I13&lt;=1000000000000),FALSE),IF(ISNUMBER(J13),AND(J13&gt;=0,J13&lt;=1000000000000),FALSE),IF(ISNUMBER(K13),AND(K13&gt;=0,K13&lt;=1000000000000),FALSE),IF(ISNUMBER(L13),AND(L13&gt;=0,L13&lt;=1000000000000),FALSE)),"OK","Missing / invalid input")</x:f>
        <x:v>OK</x:v>
      </x:c>
      <x:c r="O13" s="2"/>
      <x:c r="P13" s="2"/>
    </x:row>
    <x:row r="14" ht="21" customHeight="1">
      <x:c r="A14" s="2"/>
      <x:c r="B14" s="2"/>
      <x:c r="C14" s="43" t="n">
        <x:f>IF(ISNUMBER('Assumptions'!D7),IF(AND('Assumptions'!D7=INT('Assumptions'!D7),'Assumptions'!D7&gt;=2000,'Assumptions'!D7&lt;=2100),DATE('Assumptions'!D7,5,1),"n.a."),"n.a.")</x:f>
        <x:v>46508</x:v>
      </x:c>
      <x:c r="D14" s="16" t="n">
        <x:v>120</x:v>
      </x:c>
      <x:c r="E14" s="27" t="n">
        <x:v>850</x:v>
      </x:c>
      <x:c r="F14" s="30" t="n">
        <x:v>0.95</x:v>
      </x:c>
      <x:c r="G14" s="30" t="n">
        <x:v>0.3</x:v>
      </x:c>
      <x:c r="H14" s="16" t="n">
        <x:v>0</x:v>
      </x:c>
      <x:c r="I14" s="27" t="n">
        <x:v>700</x:v>
      </x:c>
      <x:c r="J14" s="27" t="n">
        <x:v>300</x:v>
      </x:c>
      <x:c r="K14" s="27" t="n">
        <x:v>85</x:v>
      </x:c>
      <x:c r="L14" s="27" t="n">
        <x:v>2500</x:v>
      </x:c>
      <x:c r="M14" s="2"/>
      <x:c r="N14" s="13" t="str">
        <x:f>IF(AND(IF(ISNUMBER(D14),AND(D14&gt;=0,D14&lt;=1000000000000),FALSE),IF(ISNUMBER(E14),AND(E14&gt;=0,E14&lt;=1000000000000),FALSE),IF(ISNUMBER(F14),AND(F14&gt;=0,F14&lt;=1),FALSE),IF(ISNUMBER(G14),AND(G14&gt;=0,G14&lt;=1),FALSE),IF(ISNUMBER(H14),AND(H14&gt;=0,H14&lt;=1000000000000),FALSE),IF(ISNUMBER(I14),AND(I14&gt;=0,I14&lt;=1000000000000),FALSE),IF(ISNUMBER(J14),AND(J14&gt;=0,J14&lt;=1000000000000),FALSE),IF(ISNUMBER(K14),AND(K14&gt;=0,K14&lt;=1000000000000),FALSE),IF(ISNUMBER(L14),AND(L14&gt;=0,L14&lt;=1000000000000),FALSE)),"OK","Missing / invalid input")</x:f>
        <x:v>OK</x:v>
      </x:c>
      <x:c r="O14" s="2"/>
      <x:c r="P14" s="2"/>
    </x:row>
    <x:row r="15" ht="21" customHeight="1">
      <x:c r="A15" s="2"/>
      <x:c r="B15" s="2"/>
      <x:c r="C15" s="43" t="n">
        <x:f>IF(ISNUMBER('Assumptions'!D7),IF(AND('Assumptions'!D7=INT('Assumptions'!D7),'Assumptions'!D7&gt;=2000,'Assumptions'!D7&lt;=2100),DATE('Assumptions'!D7,6,1),"n.a."),"n.a.")</x:f>
        <x:v>46539</x:v>
      </x:c>
      <x:c r="D15" s="16" t="n">
        <x:v>120</x:v>
      </x:c>
      <x:c r="E15" s="27" t="n">
        <x:v>850</x:v>
      </x:c>
      <x:c r="F15" s="30" t="n">
        <x:v>0.95</x:v>
      </x:c>
      <x:c r="G15" s="30" t="n">
        <x:v>0.3</x:v>
      </x:c>
      <x:c r="H15" s="16" t="n">
        <x:v>0</x:v>
      </x:c>
      <x:c r="I15" s="27" t="n">
        <x:v>700</x:v>
      </x:c>
      <x:c r="J15" s="27" t="n">
        <x:v>300</x:v>
      </x:c>
      <x:c r="K15" s="27" t="n">
        <x:v>85</x:v>
      </x:c>
      <x:c r="L15" s="27" t="n">
        <x:v>2500</x:v>
      </x:c>
      <x:c r="M15" s="2"/>
      <x:c r="N15" s="13" t="str">
        <x:f>IF(AND(IF(ISNUMBER(D15),AND(D15&gt;=0,D15&lt;=1000000000000),FALSE),IF(ISNUMBER(E15),AND(E15&gt;=0,E15&lt;=1000000000000),FALSE),IF(ISNUMBER(F15),AND(F15&gt;=0,F15&lt;=1),FALSE),IF(ISNUMBER(G15),AND(G15&gt;=0,G15&lt;=1),FALSE),IF(ISNUMBER(H15),AND(H15&gt;=0,H15&lt;=1000000000000),FALSE),IF(ISNUMBER(I15),AND(I15&gt;=0,I15&lt;=1000000000000),FALSE),IF(ISNUMBER(J15),AND(J15&gt;=0,J15&lt;=1000000000000),FALSE),IF(ISNUMBER(K15),AND(K15&gt;=0,K15&lt;=1000000000000),FALSE),IF(ISNUMBER(L15),AND(L15&gt;=0,L15&lt;=1000000000000),FALSE)),"OK","Missing / invalid input")</x:f>
        <x:v>OK</x:v>
      </x:c>
      <x:c r="O15" s="2"/>
      <x:c r="P15" s="2"/>
    </x:row>
    <x:row r="16" ht="21" customHeight="1">
      <x:c r="A16" s="2"/>
      <x:c r="B16" s="2"/>
      <x:c r="C16" s="43" t="n">
        <x:f>IF(ISNUMBER('Assumptions'!D7),IF(AND('Assumptions'!D7=INT('Assumptions'!D7),'Assumptions'!D7&gt;=2000,'Assumptions'!D7&lt;=2100),DATE('Assumptions'!D7,7,1),"n.a."),"n.a.")</x:f>
        <x:v>46569</x:v>
      </x:c>
      <x:c r="D16" s="16" t="n">
        <x:v>120</x:v>
      </x:c>
      <x:c r="E16" s="27" t="n">
        <x:v>850</x:v>
      </x:c>
      <x:c r="F16" s="30" t="n">
        <x:v>0.95</x:v>
      </x:c>
      <x:c r="G16" s="30" t="n">
        <x:v>0.3</x:v>
      </x:c>
      <x:c r="H16" s="16" t="n">
        <x:v>100</x:v>
      </x:c>
      <x:c r="I16" s="27" t="n">
        <x:v>700</x:v>
      </x:c>
      <x:c r="J16" s="27" t="n">
        <x:v>300</x:v>
      </x:c>
      <x:c r="K16" s="27" t="n">
        <x:v>85</x:v>
      </x:c>
      <x:c r="L16" s="27" t="n">
        <x:v>2500</x:v>
      </x:c>
      <x:c r="M16" s="2"/>
      <x:c r="N16" s="13" t="str">
        <x:f>IF(AND(IF(ISNUMBER(D16),AND(D16&gt;=0,D16&lt;=1000000000000),FALSE),IF(ISNUMBER(E16),AND(E16&gt;=0,E16&lt;=1000000000000),FALSE),IF(ISNUMBER(F16),AND(F16&gt;=0,F16&lt;=1),FALSE),IF(ISNUMBER(G16),AND(G16&gt;=0,G16&lt;=1),FALSE),IF(ISNUMBER(H16),AND(H16&gt;=0,H16&lt;=1000000000000),FALSE),IF(ISNUMBER(I16),AND(I16&gt;=0,I16&lt;=1000000000000),FALSE),IF(ISNUMBER(J16),AND(J16&gt;=0,J16&lt;=1000000000000),FALSE),IF(ISNUMBER(K16),AND(K16&gt;=0,K16&lt;=1000000000000),FALSE),IF(ISNUMBER(L16),AND(L16&gt;=0,L16&lt;=1000000000000),FALSE)),"OK","Missing / invalid input")</x:f>
        <x:v>OK</x:v>
      </x:c>
      <x:c r="O16" s="2"/>
      <x:c r="P16" s="2"/>
    </x:row>
    <x:row r="17" ht="21" customHeight="1">
      <x:c r="A17" s="2"/>
      <x:c r="B17" s="2"/>
      <x:c r="C17" s="43" t="n">
        <x:f>IF(ISNUMBER('Assumptions'!D7),IF(AND('Assumptions'!D7=INT('Assumptions'!D7),'Assumptions'!D7&gt;=2000,'Assumptions'!D7&lt;=2100),DATE('Assumptions'!D7,8,1),"n.a."),"n.a.")</x:f>
        <x:v>46600</x:v>
      </x:c>
      <x:c r="D17" s="16" t="n">
        <x:v>120</x:v>
      </x:c>
      <x:c r="E17" s="27" t="n">
        <x:v>850</x:v>
      </x:c>
      <x:c r="F17" s="30" t="n">
        <x:v>0.95</x:v>
      </x:c>
      <x:c r="G17" s="30" t="n">
        <x:v>0.95</x:v>
      </x:c>
      <x:c r="H17" s="16" t="n">
        <x:v>0</x:v>
      </x:c>
      <x:c r="I17" s="27" t="n">
        <x:v>700</x:v>
      </x:c>
      <x:c r="J17" s="27" t="n">
        <x:v>300</x:v>
      </x:c>
      <x:c r="K17" s="27" t="n">
        <x:v>85</x:v>
      </x:c>
      <x:c r="L17" s="27" t="n">
        <x:v>2500</x:v>
      </x:c>
      <x:c r="M17" s="2"/>
      <x:c r="N17" s="13" t="str">
        <x:f>IF(AND(IF(ISNUMBER(D17),AND(D17&gt;=0,D17&lt;=1000000000000),FALSE),IF(ISNUMBER(E17),AND(E17&gt;=0,E17&lt;=1000000000000),FALSE),IF(ISNUMBER(F17),AND(F17&gt;=0,F17&lt;=1),FALSE),IF(ISNUMBER(G17),AND(G17&gt;=0,G17&lt;=1),FALSE),IF(ISNUMBER(H17),AND(H17&gt;=0,H17&lt;=1000000000000),FALSE),IF(ISNUMBER(I17),AND(I17&gt;=0,I17&lt;=1000000000000),FALSE),IF(ISNUMBER(J17),AND(J17&gt;=0,J17&lt;=1000000000000),FALSE),IF(ISNUMBER(K17),AND(K17&gt;=0,K17&lt;=1000000000000),FALSE),IF(ISNUMBER(L17),AND(L17&gt;=0,L17&lt;=1000000000000),FALSE)),"OK","Missing / invalid input")</x:f>
        <x:v>OK</x:v>
      </x:c>
      <x:c r="O17" s="2"/>
      <x:c r="P17" s="2"/>
    </x:row>
    <x:row r="18" ht="21" customHeight="1">
      <x:c r="A18" s="2"/>
      <x:c r="B18" s="2"/>
      <x:c r="C18" s="43" t="n">
        <x:f>IF(ISNUMBER('Assumptions'!D7),IF(AND('Assumptions'!D7=INT('Assumptions'!D7),'Assumptions'!D7&gt;=2000,'Assumptions'!D7&lt;=2100),DATE('Assumptions'!D7,9,1),"n.a."),"n.a.")</x:f>
        <x:v>46631</x:v>
      </x:c>
      <x:c r="D18" s="16" t="n">
        <x:v>120</x:v>
      </x:c>
      <x:c r="E18" s="27" t="n">
        <x:v>850</x:v>
      </x:c>
      <x:c r="F18" s="30" t="n">
        <x:v>0.95</x:v>
      </x:c>
      <x:c r="G18" s="30" t="n">
        <x:v>0.95</x:v>
      </x:c>
      <x:c r="H18" s="16" t="n">
        <x:v>0</x:v>
      </x:c>
      <x:c r="I18" s="27" t="n">
        <x:v>700</x:v>
      </x:c>
      <x:c r="J18" s="27" t="n">
        <x:v>300</x:v>
      </x:c>
      <x:c r="K18" s="27" t="n">
        <x:v>85</x:v>
      </x:c>
      <x:c r="L18" s="27" t="n">
        <x:v>2500</x:v>
      </x:c>
      <x:c r="M18" s="2"/>
      <x:c r="N18" s="13" t="str">
        <x:f>IF(AND(IF(ISNUMBER(D18),AND(D18&gt;=0,D18&lt;=1000000000000),FALSE),IF(ISNUMBER(E18),AND(E18&gt;=0,E18&lt;=1000000000000),FALSE),IF(ISNUMBER(F18),AND(F18&gt;=0,F18&lt;=1),FALSE),IF(ISNUMBER(G18),AND(G18&gt;=0,G18&lt;=1),FALSE),IF(ISNUMBER(H18),AND(H18&gt;=0,H18&lt;=1000000000000),FALSE),IF(ISNUMBER(I18),AND(I18&gt;=0,I18&lt;=1000000000000),FALSE),IF(ISNUMBER(J18),AND(J18&gt;=0,J18&lt;=1000000000000),FALSE),IF(ISNUMBER(K18),AND(K18&gt;=0,K18&lt;=1000000000000),FALSE),IF(ISNUMBER(L18),AND(L18&gt;=0,L18&lt;=1000000000000),FALSE)),"OK","Missing / invalid input")</x:f>
        <x:v>OK</x:v>
      </x:c>
      <x:c r="O18" s="2"/>
      <x:c r="P18" s="2"/>
    </x:row>
    <x:row r="19" ht="21" customHeight="1">
      <x:c r="A19" s="2"/>
      <x:c r="B19" s="2"/>
      <x:c r="C19" s="43" t="n">
        <x:f>IF(ISNUMBER('Assumptions'!D7),IF(AND('Assumptions'!D7=INT('Assumptions'!D7),'Assumptions'!D7&gt;=2000,'Assumptions'!D7&lt;=2100),DATE('Assumptions'!D7,10,1),"n.a."),"n.a.")</x:f>
        <x:v>46661</x:v>
      </x:c>
      <x:c r="D19" s="16" t="n">
        <x:v>120</x:v>
      </x:c>
      <x:c r="E19" s="27" t="n">
        <x:v>850</x:v>
      </x:c>
      <x:c r="F19" s="30" t="n">
        <x:v>0.95</x:v>
      </x:c>
      <x:c r="G19" s="30" t="n">
        <x:v>0.95</x:v>
      </x:c>
      <x:c r="H19" s="16" t="n">
        <x:v>0</x:v>
      </x:c>
      <x:c r="I19" s="27" t="n">
        <x:v>700</x:v>
      </x:c>
      <x:c r="J19" s="27" t="n">
        <x:v>300</x:v>
      </x:c>
      <x:c r="K19" s="27" t="n">
        <x:v>85</x:v>
      </x:c>
      <x:c r="L19" s="27" t="n">
        <x:v>2500</x:v>
      </x:c>
      <x:c r="M19" s="2"/>
      <x:c r="N19" s="13" t="str">
        <x:f>IF(AND(IF(ISNUMBER(D19),AND(D19&gt;=0,D19&lt;=1000000000000),FALSE),IF(ISNUMBER(E19),AND(E19&gt;=0,E19&lt;=1000000000000),FALSE),IF(ISNUMBER(F19),AND(F19&gt;=0,F19&lt;=1),FALSE),IF(ISNUMBER(G19),AND(G19&gt;=0,G19&lt;=1),FALSE),IF(ISNUMBER(H19),AND(H19&gt;=0,H19&lt;=1000000000000),FALSE),IF(ISNUMBER(I19),AND(I19&gt;=0,I19&lt;=1000000000000),FALSE),IF(ISNUMBER(J19),AND(J19&gt;=0,J19&lt;=1000000000000),FALSE),IF(ISNUMBER(K19),AND(K19&gt;=0,K19&lt;=1000000000000),FALSE),IF(ISNUMBER(L19),AND(L19&gt;=0,L19&lt;=1000000000000),FALSE)),"OK","Missing / invalid input")</x:f>
        <x:v>OK</x:v>
      </x:c>
      <x:c r="O19" s="2"/>
      <x:c r="P19" s="2"/>
    </x:row>
    <x:row r="20" ht="21" customHeight="1">
      <x:c r="A20" s="2"/>
      <x:c r="B20" s="2"/>
      <x:c r="C20" s="43" t="n">
        <x:f>IF(ISNUMBER('Assumptions'!D7),IF(AND('Assumptions'!D7=INT('Assumptions'!D7),'Assumptions'!D7&gt;=2000,'Assumptions'!D7&lt;=2100),DATE('Assumptions'!D7,11,1),"n.a."),"n.a.")</x:f>
        <x:v>46692</x:v>
      </x:c>
      <x:c r="D20" s="16" t="n">
        <x:v>120</x:v>
      </x:c>
      <x:c r="E20" s="27" t="n">
        <x:v>850</x:v>
      </x:c>
      <x:c r="F20" s="30" t="n">
        <x:v>0.95</x:v>
      </x:c>
      <x:c r="G20" s="30" t="n">
        <x:v>0.95</x:v>
      </x:c>
      <x:c r="H20" s="16" t="n">
        <x:v>0</x:v>
      </x:c>
      <x:c r="I20" s="27" t="n">
        <x:v>700</x:v>
      </x:c>
      <x:c r="J20" s="27" t="n">
        <x:v>300</x:v>
      </x:c>
      <x:c r="K20" s="27" t="n">
        <x:v>85</x:v>
      </x:c>
      <x:c r="L20" s="27" t="n">
        <x:v>2500</x:v>
      </x:c>
      <x:c r="M20" s="2"/>
      <x:c r="N20" s="13" t="str">
        <x:f>IF(AND(IF(ISNUMBER(D20),AND(D20&gt;=0,D20&lt;=1000000000000),FALSE),IF(ISNUMBER(E20),AND(E20&gt;=0,E20&lt;=1000000000000),FALSE),IF(ISNUMBER(F20),AND(F20&gt;=0,F20&lt;=1),FALSE),IF(ISNUMBER(G20),AND(G20&gt;=0,G20&lt;=1),FALSE),IF(ISNUMBER(H20),AND(H20&gt;=0,H20&lt;=1000000000000),FALSE),IF(ISNUMBER(I20),AND(I20&gt;=0,I20&lt;=1000000000000),FALSE),IF(ISNUMBER(J20),AND(J20&gt;=0,J20&lt;=1000000000000),FALSE),IF(ISNUMBER(K20),AND(K20&gt;=0,K20&lt;=1000000000000),FALSE),IF(ISNUMBER(L20),AND(L20&gt;=0,L20&lt;=1000000000000),FALSE)),"OK","Missing / invalid input")</x:f>
        <x:v>OK</x:v>
      </x:c>
      <x:c r="O20" s="2"/>
      <x:c r="P20" s="2"/>
    </x:row>
    <x:row r="21" ht="21" customHeight="1">
      <x:c r="A21" s="2"/>
      <x:c r="B21" s="2"/>
      <x:c r="C21" s="43" t="n">
        <x:f>IF(ISNUMBER('Assumptions'!D7),IF(AND('Assumptions'!D7=INT('Assumptions'!D7),'Assumptions'!D7&gt;=2000,'Assumptions'!D7&lt;=2100),DATE('Assumptions'!D7,12,1),"n.a."),"n.a.")</x:f>
        <x:v>46722</x:v>
      </x:c>
      <x:c r="D21" s="16" t="n">
        <x:v>120</x:v>
      </x:c>
      <x:c r="E21" s="27" t="n">
        <x:v>850</x:v>
      </x:c>
      <x:c r="F21" s="30" t="n">
        <x:v>0.95</x:v>
      </x:c>
      <x:c r="G21" s="30" t="n">
        <x:v>0.95</x:v>
      </x:c>
      <x:c r="H21" s="16" t="n">
        <x:v>0</x:v>
      </x:c>
      <x:c r="I21" s="27" t="n">
        <x:v>700</x:v>
      </x:c>
      <x:c r="J21" s="27" t="n">
        <x:v>300</x:v>
      </x:c>
      <x:c r="K21" s="27" t="n">
        <x:v>85</x:v>
      </x:c>
      <x:c r="L21" s="27" t="n">
        <x:v>2500</x:v>
      </x:c>
      <x:c r="M21" s="2"/>
      <x:c r="N21" s="13" t="str">
        <x:f>IF(AND(IF(ISNUMBER(D21),AND(D21&gt;=0,D21&lt;=1000000000000),FALSE),IF(ISNUMBER(E21),AND(E21&gt;=0,E21&lt;=1000000000000),FALSE),IF(ISNUMBER(F21),AND(F21&gt;=0,F21&lt;=1),FALSE),IF(ISNUMBER(G21),AND(G21&gt;=0,G21&lt;=1),FALSE),IF(ISNUMBER(H21),AND(H21&gt;=0,H21&lt;=1000000000000),FALSE),IF(ISNUMBER(I21),AND(I21&gt;=0,I21&lt;=1000000000000),FALSE),IF(ISNUMBER(J21),AND(J21&gt;=0,J21&lt;=1000000000000),FALSE),IF(ISNUMBER(K21),AND(K21&gt;=0,K21&lt;=1000000000000),FALSE),IF(ISNUMBER(L21),AND(L21&gt;=0,L21&lt;=1000000000000),FALSE)),"OK","Missing / invalid input")</x:f>
        <x:v>OK</x:v>
      </x:c>
      <x:c r="O21" s="2"/>
      <x:c r="P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</x:sheetData>
  <x:conditionalFormatting sqref="N10:N21">
    <x:cfRule type="containsText" dxfId="0" priority="1" operator="containsText" text="invalid"/>
  </x:conditionalFormatting>
  <x:dataValidations count="108">
    <x:dataValidation type="decimal" operator="between" sqref="D10">
      <x:formula1>0</x:formula1>
      <x:formula2>1000000000000</x:formula2>
    </x:dataValidation>
    <x:dataValidation type="decimal" operator="between" sqref="E10">
      <x:formula1>0</x:formula1>
      <x:formula2>1000000000000</x:formula2>
    </x:dataValidation>
    <x:dataValidation type="decimal" operator="between" sqref="F10">
      <x:formula1>0</x:formula1>
      <x:formula2>1</x:formula2>
    </x:dataValidation>
    <x:dataValidation type="decimal" operator="between" sqref="G10">
      <x:formula1>0</x:formula1>
      <x:formula2>1</x:formula2>
    </x:dataValidation>
    <x:dataValidation type="decimal" operator="between" sqref="H10">
      <x:formula1>0</x:formula1>
      <x:formula2>1000000000000</x:formula2>
    </x:dataValidation>
    <x:dataValidation type="decimal" operator="between" sqref="I10">
      <x:formula1>0</x:formula1>
      <x:formula2>1000000000000</x:formula2>
    </x:dataValidation>
    <x:dataValidation type="decimal" operator="between" sqref="J10">
      <x:formula1>0</x:formula1>
      <x:formula2>1000000000000</x:formula2>
    </x:dataValidation>
    <x:dataValidation type="decimal" operator="between" sqref="K10">
      <x:formula1>0</x:formula1>
      <x:formula2>1000000000000</x:formula2>
    </x:dataValidation>
    <x:dataValidation type="decimal" operator="between" sqref="L10">
      <x:formula1>0</x:formula1>
      <x:formula2>1000000000000</x:formula2>
    </x:dataValidation>
    <x:dataValidation type="decimal" operator="between" sqref="D11">
      <x:formula1>0</x:formula1>
      <x:formula2>1000000000000</x:formula2>
    </x:dataValidation>
    <x:dataValidation type="decimal" operator="between" sqref="E11">
      <x:formula1>0</x:formula1>
      <x:formula2>1000000000000</x:formula2>
    </x:dataValidation>
    <x:dataValidation type="decimal" operator="between" sqref="F11">
      <x:formula1>0</x:formula1>
      <x:formula2>1</x:formula2>
    </x:dataValidation>
    <x:dataValidation type="decimal" operator="between" sqref="G11">
      <x:formula1>0</x:formula1>
      <x:formula2>1</x:formula2>
    </x:dataValidation>
    <x:dataValidation type="decimal" operator="between" sqref="H11">
      <x:formula1>0</x:formula1>
      <x:formula2>1000000000000</x:formula2>
    </x:dataValidation>
    <x:dataValidation type="decimal" operator="between" sqref="I11">
      <x:formula1>0</x:formula1>
      <x:formula2>1000000000000</x:formula2>
    </x:dataValidation>
    <x:dataValidation type="decimal" operator="between" sqref="J11">
      <x:formula1>0</x:formula1>
      <x:formula2>1000000000000</x:formula2>
    </x:dataValidation>
    <x:dataValidation type="decimal" operator="between" sqref="K11">
      <x:formula1>0</x:formula1>
      <x:formula2>1000000000000</x:formula2>
    </x:dataValidation>
    <x:dataValidation type="decimal" operator="between" sqref="L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E12">
      <x:formula1>0</x:formula1>
      <x:formula2>1000000000000</x:formula2>
    </x:dataValidation>
    <x:dataValidation type="decimal" operator="between" sqref="F12">
      <x:formula1>0</x:formula1>
      <x:formula2>1</x:formula2>
    </x:dataValidation>
    <x:dataValidation type="decimal" operator="between" sqref="G12">
      <x:formula1>0</x:formula1>
      <x:formula2>1</x:formula2>
    </x:dataValidation>
    <x:dataValidation type="decimal" operator="between" sqref="H12">
      <x:formula1>0</x:formula1>
      <x:formula2>1000000000000</x:formula2>
    </x:dataValidation>
    <x:dataValidation type="decimal" operator="between" sqref="I12">
      <x:formula1>0</x:formula1>
      <x:formula2>1000000000000</x:formula2>
    </x:dataValidation>
    <x:dataValidation type="decimal" operator="between" sqref="J12">
      <x:formula1>0</x:formula1>
      <x:formula2>1000000000000</x:formula2>
    </x:dataValidation>
    <x:dataValidation type="decimal" operator="between" sqref="K12">
      <x:formula1>0</x:formula1>
      <x:formula2>1000000000000</x:formula2>
    </x:dataValidation>
    <x:dataValidation type="decimal" operator="between" sqref="L12">
      <x:formula1>0</x:formula1>
      <x:formula2>1000000000000</x:formula2>
    </x:dataValidation>
    <x:dataValidation type="decimal" operator="between" sqref="D13">
      <x:formula1>0</x:formula1>
      <x:formula2>1000000000000</x:formula2>
    </x:dataValidation>
    <x:dataValidation type="decimal" operator="between" sqref="E13">
      <x:formula1>0</x:formula1>
      <x:formula2>1000000000000</x:formula2>
    </x:dataValidation>
    <x:dataValidation type="decimal" operator="between" sqref="F13">
      <x:formula1>0</x:formula1>
      <x:formula2>1</x:formula2>
    </x:dataValidation>
    <x:dataValidation type="decimal" operator="between" sqref="G13">
      <x:formula1>0</x:formula1>
      <x:formula2>1</x:formula2>
    </x:dataValidation>
    <x:dataValidation type="decimal" operator="between" sqref="H13">
      <x:formula1>0</x:formula1>
      <x:formula2>1000000000000</x:formula2>
    </x:dataValidation>
    <x:dataValidation type="decimal" operator="between" sqref="I13">
      <x:formula1>0</x:formula1>
      <x:formula2>1000000000000</x:formula2>
    </x:dataValidation>
    <x:dataValidation type="decimal" operator="between" sqref="J13">
      <x:formula1>0</x:formula1>
      <x:formula2>1000000000000</x:formula2>
    </x:dataValidation>
    <x:dataValidation type="decimal" operator="between" sqref="K13">
      <x:formula1>0</x:formula1>
      <x:formula2>1000000000000</x:formula2>
    </x:dataValidation>
    <x:dataValidation type="decimal" operator="between" sqref="L13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E14">
      <x:formula1>0</x:formula1>
      <x:formula2>1000000000000</x:formula2>
    </x:dataValidation>
    <x:dataValidation type="decimal" operator="between" sqref="F14">
      <x:formula1>0</x:formula1>
      <x:formula2>1</x:formula2>
    </x:dataValidation>
    <x:dataValidation type="decimal" operator="between" sqref="G14">
      <x:formula1>0</x:formula1>
      <x:formula2>1</x:formula2>
    </x:dataValidation>
    <x:dataValidation type="decimal" operator="between" sqref="H14">
      <x:formula1>0</x:formula1>
      <x:formula2>1000000000000</x:formula2>
    </x:dataValidation>
    <x:dataValidation type="decimal" operator="between" sqref="I14">
      <x:formula1>0</x:formula1>
      <x:formula2>1000000000000</x:formula2>
    </x:dataValidation>
    <x:dataValidation type="decimal" operator="between" sqref="J14">
      <x:formula1>0</x:formula1>
      <x:formula2>1000000000000</x:formula2>
    </x:dataValidation>
    <x:dataValidation type="decimal" operator="between" sqref="K14">
      <x:formula1>0</x:formula1>
      <x:formula2>1000000000000</x:formula2>
    </x:dataValidation>
    <x:dataValidation type="decimal" operator="between" sqref="L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E15">
      <x:formula1>0</x:formula1>
      <x:formula2>1000000000000</x:formula2>
    </x:dataValidation>
    <x:dataValidation type="decimal" operator="between" sqref="F15">
      <x:formula1>0</x:formula1>
      <x:formula2>1</x:formula2>
    </x:dataValidation>
    <x:dataValidation type="decimal" operator="between" sqref="G15">
      <x:formula1>0</x:formula1>
      <x:formula2>1</x:formula2>
    </x:dataValidation>
    <x:dataValidation type="decimal" operator="between" sqref="H15">
      <x:formula1>0</x:formula1>
      <x:formula2>1000000000000</x:formula2>
    </x:dataValidation>
    <x:dataValidation type="decimal" operator="between" sqref="I15">
      <x:formula1>0</x:formula1>
      <x:formula2>1000000000000</x:formula2>
    </x:dataValidation>
    <x:dataValidation type="decimal" operator="between" sqref="J15">
      <x:formula1>0</x:formula1>
      <x:formula2>1000000000000</x:formula2>
    </x:dataValidation>
    <x:dataValidation type="decimal" operator="between" sqref="K15">
      <x:formula1>0</x:formula1>
      <x:formula2>1000000000000</x:formula2>
    </x:dataValidation>
    <x:dataValidation type="decimal" operator="between" sqref="L15">
      <x:formula1>0</x:formula1>
      <x:formula2>1000000000000</x:formula2>
    </x:dataValidation>
    <x:dataValidation type="decimal" operator="between" sqref="D16">
      <x:formula1>0</x:formula1>
      <x:formula2>1000000000000</x:formula2>
    </x:dataValidation>
    <x:dataValidation type="decimal" operator="between" sqref="E16">
      <x:formula1>0</x:formula1>
      <x:formula2>1000000000000</x:formula2>
    </x:dataValidation>
    <x:dataValidation type="decimal" operator="between" sqref="F16">
      <x:formula1>0</x:formula1>
      <x:formula2>1</x:formula2>
    </x:dataValidation>
    <x:dataValidation type="decimal" operator="between" sqref="G16">
      <x:formula1>0</x:formula1>
      <x:formula2>1</x:formula2>
    </x:dataValidation>
    <x:dataValidation type="decimal" operator="between" sqref="H16">
      <x:formula1>0</x:formula1>
      <x:formula2>1000000000000</x:formula2>
    </x:dataValidation>
    <x:dataValidation type="decimal" operator="between" sqref="I16">
      <x:formula1>0</x:formula1>
      <x:formula2>1000000000000</x:formula2>
    </x:dataValidation>
    <x:dataValidation type="decimal" operator="between" sqref="J16">
      <x:formula1>0</x:formula1>
      <x:formula2>1000000000000</x:formula2>
    </x:dataValidation>
    <x:dataValidation type="decimal" operator="between" sqref="K16">
      <x:formula1>0</x:formula1>
      <x:formula2>1000000000000</x:formula2>
    </x:dataValidation>
    <x:dataValidation type="decimal" operator="between" sqref="L16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E17">
      <x:formula1>0</x:formula1>
      <x:formula2>1000000000000</x:formula2>
    </x:dataValidation>
    <x:dataValidation type="decimal" operator="between" sqref="F17">
      <x:formula1>0</x:formula1>
      <x:formula2>1</x:formula2>
    </x:dataValidation>
    <x:dataValidation type="decimal" operator="between" sqref="G17">
      <x:formula1>0</x:formula1>
      <x:formula2>1</x:formula2>
    </x:dataValidation>
    <x:dataValidation type="decimal" operator="between" sqref="H17">
      <x:formula1>0</x:formula1>
      <x:formula2>1000000000000</x:formula2>
    </x:dataValidation>
    <x:dataValidation type="decimal" operator="between" sqref="I17">
      <x:formula1>0</x:formula1>
      <x:formula2>1000000000000</x:formula2>
    </x:dataValidation>
    <x:dataValidation type="decimal" operator="between" sqref="J17">
      <x:formula1>0</x:formula1>
      <x:formula2>1000000000000</x:formula2>
    </x:dataValidation>
    <x:dataValidation type="decimal" operator="between" sqref="K17">
      <x:formula1>0</x:formula1>
      <x:formula2>1000000000000</x:formula2>
    </x:dataValidation>
    <x:dataValidation type="decimal" operator="between" sqref="L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E18">
      <x:formula1>0</x:formula1>
      <x:formula2>1000000000000</x:formula2>
    </x:dataValidation>
    <x:dataValidation type="decimal" operator="between" sqref="F18">
      <x:formula1>0</x:formula1>
      <x:formula2>1</x:formula2>
    </x:dataValidation>
    <x:dataValidation type="decimal" operator="between" sqref="G18">
      <x:formula1>0</x:formula1>
      <x:formula2>1</x:formula2>
    </x:dataValidation>
    <x:dataValidation type="decimal" operator="between" sqref="H18">
      <x:formula1>0</x:formula1>
      <x:formula2>1000000000000</x:formula2>
    </x:dataValidation>
    <x:dataValidation type="decimal" operator="between" sqref="I18">
      <x:formula1>0</x:formula1>
      <x:formula2>1000000000000</x:formula2>
    </x:dataValidation>
    <x:dataValidation type="decimal" operator="between" sqref="J18">
      <x:formula1>0</x:formula1>
      <x:formula2>1000000000000</x:formula2>
    </x:dataValidation>
    <x:dataValidation type="decimal" operator="between" sqref="K18">
      <x:formula1>0</x:formula1>
      <x:formula2>1000000000000</x:formula2>
    </x:dataValidation>
    <x:dataValidation type="decimal" operator="between" sqref="L18">
      <x:formula1>0</x:formula1>
      <x:formula2>1000000000000</x:formula2>
    </x:dataValidation>
    <x:dataValidation type="decimal" operator="between" sqref="D19">
      <x:formula1>0</x:formula1>
      <x:formula2>1000000000000</x:formula2>
    </x:dataValidation>
    <x:dataValidation type="decimal" operator="between" sqref="E19">
      <x:formula1>0</x:formula1>
      <x:formula2>1000000000000</x:formula2>
    </x:dataValidation>
    <x:dataValidation type="decimal" operator="between" sqref="F19">
      <x:formula1>0</x:formula1>
      <x:formula2>1</x:formula2>
    </x:dataValidation>
    <x:dataValidation type="decimal" operator="between" sqref="G19">
      <x:formula1>0</x:formula1>
      <x:formula2>1</x:formula2>
    </x:dataValidation>
    <x:dataValidation type="decimal" operator="between" sqref="H19">
      <x:formula1>0</x:formula1>
      <x:formula2>1000000000000</x:formula2>
    </x:dataValidation>
    <x:dataValidation type="decimal" operator="between" sqref="I19">
      <x:formula1>0</x:formula1>
      <x:formula2>1000000000000</x:formula2>
    </x:dataValidation>
    <x:dataValidation type="decimal" operator="between" sqref="J19">
      <x:formula1>0</x:formula1>
      <x:formula2>1000000000000</x:formula2>
    </x:dataValidation>
    <x:dataValidation type="decimal" operator="between" sqref="K19">
      <x:formula1>0</x:formula1>
      <x:formula2>1000000000000</x:formula2>
    </x:dataValidation>
    <x:dataValidation type="decimal" operator="between" sqref="L19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E20">
      <x:formula1>0</x:formula1>
      <x:formula2>1000000000000</x:formula2>
    </x:dataValidation>
    <x:dataValidation type="decimal" operator="between" sqref="F20">
      <x:formula1>0</x:formula1>
      <x:formula2>1</x:formula2>
    </x:dataValidation>
    <x:dataValidation type="decimal" operator="between" sqref="G20">
      <x:formula1>0</x:formula1>
      <x:formula2>1</x:formula2>
    </x:dataValidation>
    <x:dataValidation type="decimal" operator="between" sqref="H20">
      <x:formula1>0</x:formula1>
      <x:formula2>1000000000000</x:formula2>
    </x:dataValidation>
    <x:dataValidation type="decimal" operator="between" sqref="I20">
      <x:formula1>0</x:formula1>
      <x:formula2>1000000000000</x:formula2>
    </x:dataValidation>
    <x:dataValidation type="decimal" operator="between" sqref="J20">
      <x:formula1>0</x:formula1>
      <x:formula2>1000000000000</x:formula2>
    </x:dataValidation>
    <x:dataValidation type="decimal" operator="between" sqref="K20">
      <x:formula1>0</x:formula1>
      <x:formula2>1000000000000</x:formula2>
    </x:dataValidation>
    <x:dataValidation type="decimal" operator="between" sqref="L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E21">
      <x:formula1>0</x:formula1>
      <x:formula2>1000000000000</x:formula2>
    </x:dataValidation>
    <x:dataValidation type="decimal" operator="between" sqref="F21">
      <x:formula1>0</x:formula1>
      <x:formula2>1</x:formula2>
    </x:dataValidation>
    <x:dataValidation type="decimal" operator="between" sqref="G21">
      <x:formula1>0</x:formula1>
      <x:formula2>1</x:formula2>
    </x:dataValidation>
    <x:dataValidation type="decimal" operator="between" sqref="H21">
      <x:formula1>0</x:formula1>
      <x:formula2>1000000000000</x:formula2>
    </x:dataValidation>
    <x:dataValidation type="decimal" operator="between" sqref="I21">
      <x:formula1>0</x:formula1>
      <x:formula2>1000000000000</x:formula2>
    </x:dataValidation>
    <x:dataValidation type="decimal" operator="between" sqref="J21">
      <x:formula1>0</x:formula1>
      <x:formula2>1000000000000</x:formula2>
    </x:dataValidation>
    <x:dataValidation type="decimal" operator="between" sqref="K21">
      <x:formula1>0</x:formula1>
      <x:formula2>1000000000000</x:formula2>
    </x:dataValidation>
    <x:dataValidation type="decimal" operator="between" sqref="L21">
      <x:formula1>0</x:formula1>
      <x:formula2>1000000000000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6" hidden="0" customWidth="1"/>
    <x:col min="4" max="4" width="9" hidden="0" customWidth="1"/>
    <x:col min="5" max="5" width="17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Monthly operating cash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 t="str">
        <x:v>USD unless labeled. Monthly cash convention; capital and debt are below NCF.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30" customHeight="1">
      <x:c r="A9" s="2"/>
      <x:c r="B9" s="2"/>
      <x:c r="C9" s="21" t="str">
        <x:v>Operating driver / calculation</x:v>
      </x:c>
      <x:c r="D9" s="21" t="str">
        <x:v>Unit</x:v>
      </x:c>
      <x:c r="E9" s="21" t="str">
        <x:v>Year total</x:v>
      </x:c>
      <x:c r="F9" s="2"/>
      <x:c r="G9" s="46" t="n">
        <x:f>IF(ISNUMBER('Assumptions'!D7),IF(AND('Assumptions'!D7=INT('Assumptions'!D7),'Assumptions'!D7&gt;=2000,'Assumptions'!D7&lt;=2100),DATE('Assumptions'!D7,1,1),"n.a."),"n.a.")</x:f>
        <x:v>46388</x:v>
      </x:c>
      <x:c r="H9" s="46" t="n">
        <x:f>IF(ISNUMBER('Assumptions'!D7),IF(AND('Assumptions'!D7=INT('Assumptions'!D7),'Assumptions'!D7&gt;=2000,'Assumptions'!D7&lt;=2100),DATE('Assumptions'!D7,2,1),"n.a."),"n.a.")</x:f>
        <x:v>46419</x:v>
      </x:c>
      <x:c r="I9" s="46" t="n">
        <x:f>IF(ISNUMBER('Assumptions'!D7),IF(AND('Assumptions'!D7=INT('Assumptions'!D7),'Assumptions'!D7&gt;=2000,'Assumptions'!D7&lt;=2100),DATE('Assumptions'!D7,3,1),"n.a."),"n.a.")</x:f>
        <x:v>46447</x:v>
      </x:c>
      <x:c r="J9" s="46" t="n">
        <x:f>IF(ISNUMBER('Assumptions'!D7),IF(AND('Assumptions'!D7=INT('Assumptions'!D7),'Assumptions'!D7&gt;=2000,'Assumptions'!D7&lt;=2100),DATE('Assumptions'!D7,4,1),"n.a."),"n.a.")</x:f>
        <x:v>46478</x:v>
      </x:c>
      <x:c r="K9" s="46" t="n">
        <x:f>IF(ISNUMBER('Assumptions'!D7),IF(AND('Assumptions'!D7=INT('Assumptions'!D7),'Assumptions'!D7&gt;=2000,'Assumptions'!D7&lt;=2100),DATE('Assumptions'!D7,5,1),"n.a."),"n.a.")</x:f>
        <x:v>46508</x:v>
      </x:c>
      <x:c r="L9" s="46" t="n">
        <x:f>IF(ISNUMBER('Assumptions'!D7),IF(AND('Assumptions'!D7=INT('Assumptions'!D7),'Assumptions'!D7&gt;=2000,'Assumptions'!D7&lt;=2100),DATE('Assumptions'!D7,6,1),"n.a."),"n.a.")</x:f>
        <x:v>46539</x:v>
      </x:c>
      <x:c r="M9" s="46" t="n">
        <x:f>IF(ISNUMBER('Assumptions'!D7),IF(AND('Assumptions'!D7=INT('Assumptions'!D7),'Assumptions'!D7&gt;=2000,'Assumptions'!D7&lt;=2100),DATE('Assumptions'!D7,7,1),"n.a."),"n.a.")</x:f>
        <x:v>46569</x:v>
      </x:c>
      <x:c r="N9" s="46" t="n">
        <x:f>IF(ISNUMBER('Assumptions'!D7),IF(AND('Assumptions'!D7=INT('Assumptions'!D7),'Assumptions'!D7&gt;=2000,'Assumptions'!D7&lt;=2100),DATE('Assumptions'!D7,8,1),"n.a."),"n.a.")</x:f>
        <x:v>46600</x:v>
      </x:c>
      <x:c r="O9" s="46" t="n">
        <x:f>IF(ISNUMBER('Assumptions'!D7),IF(AND('Assumptions'!D7=INT('Assumptions'!D7),'Assumptions'!D7&gt;=2000,'Assumptions'!D7&lt;=2100),DATE('Assumptions'!D7,9,1),"n.a."),"n.a.")</x:f>
        <x:v>46631</x:v>
      </x:c>
      <x:c r="P9" s="46" t="n">
        <x:f>IF(ISNUMBER('Assumptions'!D7),IF(AND('Assumptions'!D7=INT('Assumptions'!D7),'Assumptions'!D7&gt;=2000,'Assumptions'!D7&lt;=2100),DATE('Assumptions'!D7,10,1),"n.a."),"n.a.")</x:f>
        <x:v>46661</x:v>
      </x:c>
      <x:c r="Q9" s="46" t="n">
        <x:f>IF(ISNUMBER('Assumptions'!D7),IF(AND('Assumptions'!D7=INT('Assumptions'!D7),'Assumptions'!D7&gt;=2000,'Assumptions'!D7&lt;=2100),DATE('Assumptions'!D7,11,1),"n.a."),"n.a.")</x:f>
        <x:v>46692</x:v>
      </x:c>
      <x:c r="R9" s="46" t="n">
        <x:f>IF(ISNUMBER('Assumptions'!D7),IF(AND('Assumptions'!D7=INT('Assumptions'!D7),'Assumptions'!D7&gt;=2000,'Assumptions'!D7&lt;=2100),DATE('Assumptions'!D7,12,1),"n.a."),"n.a.")</x:f>
        <x:v>46722</x:v>
      </x:c>
    </x:row>
    <x:row r="10" ht="21" customHeight="1">
      <x:c r="A10" s="2"/>
      <x:c r="B10" s="2"/>
      <x:c r="C10" s="2" t="str">
        <x:v>Paying beds</x:v>
      </x:c>
      <x:c r="D10" s="2" t="str">
        <x:v>beds avg</x:v>
      </x:c>
      <x:c r="E10" s="49" t="n">
        <x:f>IF(COUNT(G10:R10)=12,AVERAGE(G10:R10),"n.a.")</x:f>
        <x:v>94.5</x:v>
      </x:c>
      <x:c r="F10" s="2"/>
      <x:c r="G10" s="48" t="n">
        <x:f>IF(AND('Academic Leasing'!N10="OK"),IF(AND(ISNUMBER('Academic Leasing'!$D$10),ISNUMBER('Academic Leasing'!$G$10),ISNUMBER('Academic Leasing'!$F$10),ISNUMBER('Assumptions'!$D$61)),'Academic Leasing'!$D$10*MIN(1,IF(AND(1&gt;=5,1&lt;=7),'Academic Leasing'!$G$10,'Academic Leasing'!$F$10)*'Assumptions'!$D$61),"n.a."),"n.a.")</x:f>
        <x:v>114</x:v>
      </x:c>
      <x:c r="H10" s="48" t="n">
        <x:f>IF(AND('Academic Leasing'!N11="OK"),IF(AND(ISNUMBER('Academic Leasing'!$D$11),ISNUMBER('Academic Leasing'!$G$11),ISNUMBER('Academic Leasing'!$F$11),ISNUMBER('Assumptions'!$D$61)),'Academic Leasing'!$D$11*MIN(1,IF(AND(2&gt;=5,2&lt;=7),'Academic Leasing'!$G$11,'Academic Leasing'!$F$11)*'Assumptions'!$D$61),"n.a."),"n.a.")</x:f>
        <x:v>114</x:v>
      </x:c>
      <x:c r="I10" s="48" t="n">
        <x:f>IF(AND('Academic Leasing'!N12="OK"),IF(AND(ISNUMBER('Academic Leasing'!$D$12),ISNUMBER('Academic Leasing'!$G$12),ISNUMBER('Academic Leasing'!$F$12),ISNUMBER('Assumptions'!$D$61)),'Academic Leasing'!$D$12*MIN(1,IF(AND(3&gt;=5,3&lt;=7),'Academic Leasing'!$G$12,'Academic Leasing'!$F$12)*'Assumptions'!$D$61),"n.a."),"n.a.")</x:f>
        <x:v>114</x:v>
      </x:c>
      <x:c r="J10" s="48" t="n">
        <x:f>IF(AND('Academic Leasing'!N13="OK"),IF(AND(ISNUMBER('Academic Leasing'!$D$13),ISNUMBER('Academic Leasing'!$G$13),ISNUMBER('Academic Leasing'!$F$13),ISNUMBER('Assumptions'!$D$61)),'Academic Leasing'!$D$13*MIN(1,IF(AND(4&gt;=5,4&lt;=7),'Academic Leasing'!$G$13,'Academic Leasing'!$F$13)*'Assumptions'!$D$61),"n.a."),"n.a.")</x:f>
        <x:v>114</x:v>
      </x:c>
      <x:c r="K10" s="48" t="n">
        <x:f>IF(AND('Academic Leasing'!N14="OK"),IF(AND(ISNUMBER('Academic Leasing'!$D$14),ISNUMBER('Academic Leasing'!$G$14),ISNUMBER('Academic Leasing'!$F$14),ISNUMBER('Assumptions'!$D$61)),'Academic Leasing'!$D$14*MIN(1,IF(AND(5&gt;=5,5&lt;=7),'Academic Leasing'!$G$14,'Academic Leasing'!$F$14)*'Assumptions'!$D$61),"n.a."),"n.a.")</x:f>
        <x:v>36</x:v>
      </x:c>
      <x:c r="L10" s="48" t="n">
        <x:f>IF(AND('Academic Leasing'!N15="OK"),IF(AND(ISNUMBER('Academic Leasing'!$D$15),ISNUMBER('Academic Leasing'!$G$15),ISNUMBER('Academic Leasing'!$F$15),ISNUMBER('Assumptions'!$D$61)),'Academic Leasing'!$D$15*MIN(1,IF(AND(6&gt;=5,6&lt;=7),'Academic Leasing'!$G$15,'Academic Leasing'!$F$15)*'Assumptions'!$D$61),"n.a."),"n.a.")</x:f>
        <x:v>36</x:v>
      </x:c>
      <x:c r="M10" s="48" t="n">
        <x:f>IF(AND('Academic Leasing'!N16="OK"),IF(AND(ISNUMBER('Academic Leasing'!$D$16),ISNUMBER('Academic Leasing'!$G$16),ISNUMBER('Academic Leasing'!$F$16),ISNUMBER('Assumptions'!$D$61)),'Academic Leasing'!$D$16*MIN(1,IF(AND(7&gt;=5,7&lt;=7),'Academic Leasing'!$G$16,'Academic Leasing'!$F$16)*'Assumptions'!$D$61),"n.a."),"n.a.")</x:f>
        <x:v>36</x:v>
      </x:c>
      <x:c r="N10" s="48" t="n">
        <x:f>IF(AND('Academic Leasing'!N17="OK"),IF(AND(ISNUMBER('Academic Leasing'!$D$17),ISNUMBER('Academic Leasing'!$G$17),ISNUMBER('Academic Leasing'!$F$17),ISNUMBER('Assumptions'!$D$61)),'Academic Leasing'!$D$17*MIN(1,IF(AND(8&gt;=5,8&lt;=7),'Academic Leasing'!$G$17,'Academic Leasing'!$F$17)*'Assumptions'!$D$61),"n.a."),"n.a.")</x:f>
        <x:v>114</x:v>
      </x:c>
      <x:c r="O10" s="48" t="n">
        <x:f>IF(AND('Academic Leasing'!N18="OK"),IF(AND(ISNUMBER('Academic Leasing'!$D$18),ISNUMBER('Academic Leasing'!$G$18),ISNUMBER('Academic Leasing'!$F$18),ISNUMBER('Assumptions'!$D$61)),'Academic Leasing'!$D$18*MIN(1,IF(AND(9&gt;=5,9&lt;=7),'Academic Leasing'!$G$18,'Academic Leasing'!$F$18)*'Assumptions'!$D$61),"n.a."),"n.a.")</x:f>
        <x:v>114</x:v>
      </x:c>
      <x:c r="P10" s="48" t="n">
        <x:f>IF(AND('Academic Leasing'!N19="OK"),IF(AND(ISNUMBER('Academic Leasing'!$D$19),ISNUMBER('Academic Leasing'!$G$19),ISNUMBER('Academic Leasing'!$F$19),ISNUMBER('Assumptions'!$D$61)),'Academic Leasing'!$D$19*MIN(1,IF(AND(10&gt;=5,10&lt;=7),'Academic Leasing'!$G$19,'Academic Leasing'!$F$19)*'Assumptions'!$D$61),"n.a."),"n.a.")</x:f>
        <x:v>114</x:v>
      </x:c>
      <x:c r="Q10" s="48" t="n">
        <x:f>IF(AND('Academic Leasing'!N20="OK"),IF(AND(ISNUMBER('Academic Leasing'!$D$20),ISNUMBER('Academic Leasing'!$G$20),ISNUMBER('Academic Leasing'!$F$20),ISNUMBER('Assumptions'!$D$61)),'Academic Leasing'!$D$20*MIN(1,IF(AND(11&gt;=5,11&lt;=7),'Academic Leasing'!$G$20,'Academic Leasing'!$F$20)*'Assumptions'!$D$61),"n.a."),"n.a.")</x:f>
        <x:v>114</x:v>
      </x:c>
      <x:c r="R10" s="48" t="n">
        <x:f>IF(AND('Academic Leasing'!N21="OK"),IF(AND(ISNUMBER('Academic Leasing'!$D$21),ISNUMBER('Academic Leasing'!$G$21),ISNUMBER('Academic Leasing'!$F$21),ISNUMBER('Assumptions'!$D$61)),'Academic Leasing'!$D$21*MIN(1,IF(AND(12&gt;=5,12&lt;=7),'Academic Leasing'!$G$21,'Academic Leasing'!$F$21)*'Assumptions'!$D$61),"n.a."),"n.a.")</x:f>
        <x:v>114</x:v>
      </x:c>
    </x:row>
    <x:row r="11" ht="21" customHeight="1">
      <x:c r="A11" s="2"/>
      <x:c r="B11" s="2"/>
      <x:c r="C11" s="2" t="str">
        <x:v>Academic turn concessions</x:v>
      </x:c>
      <x:c r="D11" s="2" t="str">
        <x:v>USD</x:v>
      </x:c>
      <x:c r="E11" s="52" t="n">
        <x:f>IF(COUNT(G11:R11)=12,SUM(G11:R11),"n.a.")</x:f>
        <x:v>30000</x:v>
      </x:c>
      <x:c r="F11" s="2"/>
      <x:c r="G11" s="51" t="n">
        <x:f>IF(AND('Academic Leasing'!N10="OK"),IF(AND(ISNUMBER('Academic Leasing'!$H$10),ISNUMBER('Academic Leasing'!$J$10)),'Academic Leasing'!$H$10*'Academic Leasing'!$J$10,"n.a."),"n.a.")</x:f>
        <x:v>0</x:v>
      </x:c>
      <x:c r="H11" s="51" t="n">
        <x:f>IF(AND('Academic Leasing'!N11="OK"),IF(AND(ISNUMBER('Academic Leasing'!$H$11),ISNUMBER('Academic Leasing'!$J$11)),'Academic Leasing'!$H$11*'Academic Leasing'!$J$11,"n.a."),"n.a.")</x:f>
        <x:v>0</x:v>
      </x:c>
      <x:c r="I11" s="51" t="n">
        <x:f>IF(AND('Academic Leasing'!N12="OK"),IF(AND(ISNUMBER('Academic Leasing'!$H$12),ISNUMBER('Academic Leasing'!$J$12)),'Academic Leasing'!$H$12*'Academic Leasing'!$J$12,"n.a."),"n.a.")</x:f>
        <x:v>0</x:v>
      </x:c>
      <x:c r="J11" s="51" t="n">
        <x:f>IF(AND('Academic Leasing'!N13="OK"),IF(AND(ISNUMBER('Academic Leasing'!$H$13),ISNUMBER('Academic Leasing'!$J$13)),'Academic Leasing'!$H$13*'Academic Leasing'!$J$13,"n.a."),"n.a.")</x:f>
        <x:v>0</x:v>
      </x:c>
      <x:c r="K11" s="51" t="n">
        <x:f>IF(AND('Academic Leasing'!N14="OK"),IF(AND(ISNUMBER('Academic Leasing'!$H$14),ISNUMBER('Academic Leasing'!$J$14)),'Academic Leasing'!$H$14*'Academic Leasing'!$J$14,"n.a."),"n.a.")</x:f>
        <x:v>0</x:v>
      </x:c>
      <x:c r="L11" s="51" t="n">
        <x:f>IF(AND('Academic Leasing'!N15="OK"),IF(AND(ISNUMBER('Academic Leasing'!$H$15),ISNUMBER('Academic Leasing'!$J$15)),'Academic Leasing'!$H$15*'Academic Leasing'!$J$15,"n.a."),"n.a.")</x:f>
        <x:v>0</x:v>
      </x:c>
      <x:c r="M11" s="51" t="n">
        <x:f>IF(AND('Academic Leasing'!N16="OK"),IF(AND(ISNUMBER('Academic Leasing'!$H$16),ISNUMBER('Academic Leasing'!$J$16)),'Academic Leasing'!$H$16*'Academic Leasing'!$J$16,"n.a."),"n.a.")</x:f>
        <x:v>30000</x:v>
      </x:c>
      <x:c r="N11" s="51" t="n">
        <x:f>IF(AND('Academic Leasing'!N17="OK"),IF(AND(ISNUMBER('Academic Leasing'!$H$17),ISNUMBER('Academic Leasing'!$J$17)),'Academic Leasing'!$H$17*'Academic Leasing'!$J$17,"n.a."),"n.a.")</x:f>
        <x:v>0</x:v>
      </x:c>
      <x:c r="O11" s="51" t="n">
        <x:f>IF(AND('Academic Leasing'!N18="OK"),IF(AND(ISNUMBER('Academic Leasing'!$H$18),ISNUMBER('Academic Leasing'!$J$18)),'Academic Leasing'!$H$18*'Academic Leasing'!$J$18,"n.a."),"n.a.")</x:f>
        <x:v>0</x:v>
      </x:c>
      <x:c r="P11" s="51" t="n">
        <x:f>IF(AND('Academic Leasing'!N19="OK"),IF(AND(ISNUMBER('Academic Leasing'!$H$19),ISNUMBER('Academic Leasing'!$J$19)),'Academic Leasing'!$H$19*'Academic Leasing'!$J$19,"n.a."),"n.a.")</x:f>
        <x:v>0</x:v>
      </x:c>
      <x:c r="Q11" s="51" t="n">
        <x:f>IF(AND('Academic Leasing'!N20="OK"),IF(AND(ISNUMBER('Academic Leasing'!$H$20),ISNUMBER('Academic Leasing'!$J$20)),'Academic Leasing'!$H$20*'Academic Leasing'!$J$20,"n.a."),"n.a.")</x:f>
        <x:v>0</x:v>
      </x:c>
      <x:c r="R11" s="51" t="n">
        <x:f>IF(AND('Academic Leasing'!N21="OK"),IF(AND(ISNUMBER('Academic Leasing'!$H$21),ISNUMBER('Academic Leasing'!$J$21)),'Academic Leasing'!$H$21*'Academic Leasing'!$J$21,"n.a."),"n.a.")</x:f>
        <x:v>0</x:v>
      </x:c>
    </x:row>
    <x:row r="12" ht="21" customHeight="1">
      <x:c r="A12" s="2"/>
      <x:c r="B12" s="2"/>
      <x:c r="C12" s="57" t="str">
        <x:v>Bed collections after concessions</x:v>
      </x:c>
      <x:c r="D12" s="57" t="str">
        <x:v>USD</x:v>
      </x:c>
      <x:c r="E12" s="58" t="n">
        <x:f>IF(COUNT(G12:R12)=12,SUM(G12:R12),"n.a.")</x:f>
        <x:v>963900</x:v>
      </x:c>
      <x:c r="F12" s="57"/>
      <x:c r="G12" s="59" t="n">
        <x:f>IF(AND('Academic Leasing'!N10="OK"),IF(AND(ISNUMBER(G10),ISNUMBER('Academic Leasing'!$E$10),ISNUMBER('Assumptions'!$D$64),ISNUMBER(G11),ISNUMBER('Academic Leasing'!$L$10)),G10*'Academic Leasing'!$E$10*'Assumptions'!$D$64-G11+'Academic Leasing'!$L$10,"n.a."),"n.a.")</x:f>
        <x:v>99400</x:v>
      </x:c>
      <x:c r="H12" s="59" t="n">
        <x:f>IF(AND('Academic Leasing'!N11="OK"),IF(AND(ISNUMBER(H10),ISNUMBER('Academic Leasing'!$E$11),ISNUMBER('Assumptions'!$D$64),ISNUMBER(H11),ISNUMBER('Academic Leasing'!$L$11)),H10*'Academic Leasing'!$E$11*'Assumptions'!$D$64-H11+'Academic Leasing'!$L$11,"n.a."),"n.a.")</x:f>
        <x:v>99400</x:v>
      </x:c>
      <x:c r="I12" s="59" t="n">
        <x:f>IF(AND('Academic Leasing'!N12="OK"),IF(AND(ISNUMBER(I10),ISNUMBER('Academic Leasing'!$E$12),ISNUMBER('Assumptions'!$D$64),ISNUMBER(I11),ISNUMBER('Academic Leasing'!$L$12)),I10*'Academic Leasing'!$E$12*'Assumptions'!$D$64-I11+'Academic Leasing'!$L$12,"n.a."),"n.a.")</x:f>
        <x:v>99400</x:v>
      </x:c>
      <x:c r="J12" s="59" t="n">
        <x:f>IF(AND('Academic Leasing'!N13="OK"),IF(AND(ISNUMBER(J10),ISNUMBER('Academic Leasing'!$E$13),ISNUMBER('Assumptions'!$D$64),ISNUMBER(J11),ISNUMBER('Academic Leasing'!$L$13)),J10*'Academic Leasing'!$E$13*'Assumptions'!$D$64-J11+'Academic Leasing'!$L$13,"n.a."),"n.a.")</x:f>
        <x:v>99400</x:v>
      </x:c>
      <x:c r="K12" s="59" t="n">
        <x:f>IF(AND('Academic Leasing'!N14="OK"),IF(AND(ISNUMBER(K10),ISNUMBER('Academic Leasing'!$E$14),ISNUMBER('Assumptions'!$D$64),ISNUMBER(K11),ISNUMBER('Academic Leasing'!$L$14)),K10*'Academic Leasing'!$E$14*'Assumptions'!$D$64-K11+'Academic Leasing'!$L$14,"n.a."),"n.a.")</x:f>
        <x:v>33100</x:v>
      </x:c>
      <x:c r="L12" s="59" t="n">
        <x:f>IF(AND('Academic Leasing'!N15="OK"),IF(AND(ISNUMBER(L10),ISNUMBER('Academic Leasing'!$E$15),ISNUMBER('Assumptions'!$D$64),ISNUMBER(L11),ISNUMBER('Academic Leasing'!$L$15)),L10*'Academic Leasing'!$E$15*'Assumptions'!$D$64-L11+'Academic Leasing'!$L$15,"n.a."),"n.a.")</x:f>
        <x:v>33100</x:v>
      </x:c>
      <x:c r="M12" s="59" t="n">
        <x:f>IF(AND('Academic Leasing'!N16="OK"),IF(AND(ISNUMBER(M10),ISNUMBER('Academic Leasing'!$E$16),ISNUMBER('Assumptions'!$D$64),ISNUMBER(M11),ISNUMBER('Academic Leasing'!$L$16)),M10*'Academic Leasing'!$E$16*'Assumptions'!$D$64-M11+'Academic Leasing'!$L$16,"n.a."),"n.a.")</x:f>
        <x:v>3100</x:v>
      </x:c>
      <x:c r="N12" s="59" t="n">
        <x:f>IF(AND('Academic Leasing'!N17="OK"),IF(AND(ISNUMBER(N10),ISNUMBER('Academic Leasing'!$E$17),ISNUMBER('Assumptions'!$D$64),ISNUMBER(N11),ISNUMBER('Academic Leasing'!$L$17)),N10*'Academic Leasing'!$E$17*'Assumptions'!$D$64-N11+'Academic Leasing'!$L$17,"n.a."),"n.a.")</x:f>
        <x:v>99400</x:v>
      </x:c>
      <x:c r="O12" s="59" t="n">
        <x:f>IF(AND('Academic Leasing'!N18="OK"),IF(AND(ISNUMBER(O10),ISNUMBER('Academic Leasing'!$E$18),ISNUMBER('Assumptions'!$D$64),ISNUMBER(O11),ISNUMBER('Academic Leasing'!$L$18)),O10*'Academic Leasing'!$E$18*'Assumptions'!$D$64-O11+'Academic Leasing'!$L$18,"n.a."),"n.a.")</x:f>
        <x:v>99400</x:v>
      </x:c>
      <x:c r="P12" s="59" t="n">
        <x:f>IF(AND('Academic Leasing'!N19="OK"),IF(AND(ISNUMBER(P10),ISNUMBER('Academic Leasing'!$E$19),ISNUMBER('Assumptions'!$D$64),ISNUMBER(P11),ISNUMBER('Academic Leasing'!$L$19)),P10*'Academic Leasing'!$E$19*'Assumptions'!$D$64-P11+'Academic Leasing'!$L$19,"n.a."),"n.a.")</x:f>
        <x:v>99400</x:v>
      </x:c>
      <x:c r="Q12" s="59" t="n">
        <x:f>IF(AND('Academic Leasing'!N20="OK"),IF(AND(ISNUMBER(Q10),ISNUMBER('Academic Leasing'!$E$20),ISNUMBER('Assumptions'!$D$64),ISNUMBER(Q11),ISNUMBER('Academic Leasing'!$L$20)),Q10*'Academic Leasing'!$E$20*'Assumptions'!$D$64-Q11+'Academic Leasing'!$L$20,"n.a."),"n.a.")</x:f>
        <x:v>99400</x:v>
      </x:c>
      <x:c r="R12" s="59" t="n">
        <x:f>IF(AND('Academic Leasing'!N21="OK"),IF(AND(ISNUMBER(R10),ISNUMBER('Academic Leasing'!$E$21),ISNUMBER('Assumptions'!$D$64),ISNUMBER(R11),ISNUMBER('Academic Leasing'!$L$21)),R10*'Academic Leasing'!$E$21*'Assumptions'!$D$64-R11+'Academic Leasing'!$L$21,"n.a."),"n.a.")</x:f>
        <x:v>99400</x:v>
      </x:c>
    </x:row>
    <x:row r="13" ht="21" customHeight="1">
      <x:c r="A13" s="2"/>
      <x:c r="B13" s="2"/>
      <x:c r="C13" s="2" t="str">
        <x:v>Bed-related services</x:v>
      </x:c>
      <x:c r="D13" s="2" t="str">
        <x:v>USD</x:v>
      </x:c>
      <x:c r="E13" s="52" t="n">
        <x:f>IF(COUNT(G13:R13)=12,SUM(G13:R13),"n.a.")</x:f>
        <x:v>96390</x:v>
      </x:c>
      <x:c r="F13" s="2"/>
      <x:c r="G13" s="51" t="n">
        <x:f>IF(AND('Academic Leasing'!N10="OK"),IF(AND(ISNUMBER(G10),ISNUMBER('Academic Leasing'!$K$10),ISNUMBER('Assumptions'!$D$67)),G10*'Academic Leasing'!$K$10*'Assumptions'!$D$67,"n.a."),"n.a.")</x:f>
        <x:v>9690</x:v>
      </x:c>
      <x:c r="H13" s="51" t="n">
        <x:f>IF(AND('Academic Leasing'!N11="OK"),IF(AND(ISNUMBER(H10),ISNUMBER('Academic Leasing'!$K$11),ISNUMBER('Assumptions'!$D$67)),H10*'Academic Leasing'!$K$11*'Assumptions'!$D$67,"n.a."),"n.a.")</x:f>
        <x:v>9690</x:v>
      </x:c>
      <x:c r="I13" s="51" t="n">
        <x:f>IF(AND('Academic Leasing'!N12="OK"),IF(AND(ISNUMBER(I10),ISNUMBER('Academic Leasing'!$K$12),ISNUMBER('Assumptions'!$D$67)),I10*'Academic Leasing'!$K$12*'Assumptions'!$D$67,"n.a."),"n.a.")</x:f>
        <x:v>9690</x:v>
      </x:c>
      <x:c r="J13" s="51" t="n">
        <x:f>IF(AND('Academic Leasing'!N13="OK"),IF(AND(ISNUMBER(J10),ISNUMBER('Academic Leasing'!$K$13),ISNUMBER('Assumptions'!$D$67)),J10*'Academic Leasing'!$K$13*'Assumptions'!$D$67,"n.a."),"n.a.")</x:f>
        <x:v>9690</x:v>
      </x:c>
      <x:c r="K13" s="51" t="n">
        <x:f>IF(AND('Academic Leasing'!N14="OK"),IF(AND(ISNUMBER(K10),ISNUMBER('Academic Leasing'!$K$14),ISNUMBER('Assumptions'!$D$67)),K10*'Academic Leasing'!$K$14*'Assumptions'!$D$67,"n.a."),"n.a.")</x:f>
        <x:v>3060</x:v>
      </x:c>
      <x:c r="L13" s="51" t="n">
        <x:f>IF(AND('Academic Leasing'!N15="OK"),IF(AND(ISNUMBER(L10),ISNUMBER('Academic Leasing'!$K$15),ISNUMBER('Assumptions'!$D$67)),L10*'Academic Leasing'!$K$15*'Assumptions'!$D$67,"n.a."),"n.a.")</x:f>
        <x:v>3060</x:v>
      </x:c>
      <x:c r="M13" s="51" t="n">
        <x:f>IF(AND('Academic Leasing'!N16="OK"),IF(AND(ISNUMBER(M10),ISNUMBER('Academic Leasing'!$K$16),ISNUMBER('Assumptions'!$D$67)),M10*'Academic Leasing'!$K$16*'Assumptions'!$D$67,"n.a."),"n.a.")</x:f>
        <x:v>3060</x:v>
      </x:c>
      <x:c r="N13" s="51" t="n">
        <x:f>IF(AND('Academic Leasing'!N17="OK"),IF(AND(ISNUMBER(N10),ISNUMBER('Academic Leasing'!$K$17),ISNUMBER('Assumptions'!$D$67)),N10*'Academic Leasing'!$K$17*'Assumptions'!$D$67,"n.a."),"n.a.")</x:f>
        <x:v>9690</x:v>
      </x:c>
      <x:c r="O13" s="51" t="n">
        <x:f>IF(AND('Academic Leasing'!N18="OK"),IF(AND(ISNUMBER(O10),ISNUMBER('Academic Leasing'!$K$18),ISNUMBER('Assumptions'!$D$67)),O10*'Academic Leasing'!$K$18*'Assumptions'!$D$67,"n.a."),"n.a.")</x:f>
        <x:v>9690</x:v>
      </x:c>
      <x:c r="P13" s="51" t="n">
        <x:f>IF(AND('Academic Leasing'!N19="OK"),IF(AND(ISNUMBER(P10),ISNUMBER('Academic Leasing'!$K$19),ISNUMBER('Assumptions'!$D$67)),P10*'Academic Leasing'!$K$19*'Assumptions'!$D$67,"n.a."),"n.a.")</x:f>
        <x:v>9690</x:v>
      </x:c>
      <x:c r="Q13" s="51" t="n">
        <x:f>IF(AND('Academic Leasing'!N20="OK"),IF(AND(ISNUMBER(Q10),ISNUMBER('Academic Leasing'!$K$20),ISNUMBER('Assumptions'!$D$67)),Q10*'Academic Leasing'!$K$20*'Assumptions'!$D$67,"n.a."),"n.a.")</x:f>
        <x:v>9690</x:v>
      </x:c>
      <x:c r="R13" s="51" t="n">
        <x:f>IF(AND('Academic Leasing'!N21="OK"),IF(AND(ISNUMBER(R10),ISNUMBER('Academic Leasing'!$K$21),ISNUMBER('Assumptions'!$D$67)),R10*'Academic Leasing'!$K$21*'Assumptions'!$D$67,"n.a."),"n.a.")</x:f>
        <x:v>9690</x:v>
      </x:c>
    </x:row>
    <x:row r="14" ht="21" customHeight="1">
      <x:c r="A14" s="2"/>
      <x:c r="B14" s="2"/>
      <x:c r="C14" s="2" t="str">
        <x:v>Academic turn capital</x:v>
      </x:c>
      <x:c r="D14" s="2" t="str">
        <x:v>USD</x:v>
      </x:c>
      <x:c r="E14" s="52" t="n">
        <x:f>IF(COUNT(G14:R14)=12,SUM(G14:R14),"n.a.")</x:f>
        <x:v>70000</x:v>
      </x:c>
      <x:c r="F14" s="2"/>
      <x:c r="G14" s="51" t="n">
        <x:f>IF(AND('Academic Leasing'!N10="OK"),IF(AND(ISNUMBER('Academic Leasing'!$H$10),ISNUMBER('Academic Leasing'!$I$10),ISNUMBER('Assumptions'!$D$70)),'Academic Leasing'!$H$10*'Academic Leasing'!$I$10*'Assumptions'!$D$70,"n.a."),"n.a.")</x:f>
        <x:v>0</x:v>
      </x:c>
      <x:c r="H14" s="51" t="n">
        <x:f>IF(AND('Academic Leasing'!N11="OK"),IF(AND(ISNUMBER('Academic Leasing'!$H$11),ISNUMBER('Academic Leasing'!$I$11),ISNUMBER('Assumptions'!$D$70)),'Academic Leasing'!$H$11*'Academic Leasing'!$I$11*'Assumptions'!$D$70,"n.a."),"n.a.")</x:f>
        <x:v>0</x:v>
      </x:c>
      <x:c r="I14" s="51" t="n">
        <x:f>IF(AND('Academic Leasing'!N12="OK"),IF(AND(ISNUMBER('Academic Leasing'!$H$12),ISNUMBER('Academic Leasing'!$I$12),ISNUMBER('Assumptions'!$D$70)),'Academic Leasing'!$H$12*'Academic Leasing'!$I$12*'Assumptions'!$D$70,"n.a."),"n.a.")</x:f>
        <x:v>0</x:v>
      </x:c>
      <x:c r="J14" s="51" t="n">
        <x:f>IF(AND('Academic Leasing'!N13="OK"),IF(AND(ISNUMBER('Academic Leasing'!$H$13),ISNUMBER('Academic Leasing'!$I$13),ISNUMBER('Assumptions'!$D$70)),'Academic Leasing'!$H$13*'Academic Leasing'!$I$13*'Assumptions'!$D$70,"n.a."),"n.a.")</x:f>
        <x:v>0</x:v>
      </x:c>
      <x:c r="K14" s="51" t="n">
        <x:f>IF(AND('Academic Leasing'!N14="OK"),IF(AND(ISNUMBER('Academic Leasing'!$H$14),ISNUMBER('Academic Leasing'!$I$14),ISNUMBER('Assumptions'!$D$70)),'Academic Leasing'!$H$14*'Academic Leasing'!$I$14*'Assumptions'!$D$70,"n.a."),"n.a.")</x:f>
        <x:v>0</x:v>
      </x:c>
      <x:c r="L14" s="51" t="n">
        <x:f>IF(AND('Academic Leasing'!N15="OK"),IF(AND(ISNUMBER('Academic Leasing'!$H$15),ISNUMBER('Academic Leasing'!$I$15),ISNUMBER('Assumptions'!$D$70)),'Academic Leasing'!$H$15*'Academic Leasing'!$I$15*'Assumptions'!$D$70,"n.a."),"n.a.")</x:f>
        <x:v>0</x:v>
      </x:c>
      <x:c r="M14" s="51" t="n">
        <x:f>IF(AND('Academic Leasing'!N16="OK"),IF(AND(ISNUMBER('Academic Leasing'!$H$16),ISNUMBER('Academic Leasing'!$I$16),ISNUMBER('Assumptions'!$D$70)),'Academic Leasing'!$H$16*'Academic Leasing'!$I$16*'Assumptions'!$D$70,"n.a."),"n.a.")</x:f>
        <x:v>70000</x:v>
      </x:c>
      <x:c r="N14" s="51" t="n">
        <x:f>IF(AND('Academic Leasing'!N17="OK"),IF(AND(ISNUMBER('Academic Leasing'!$H$17),ISNUMBER('Academic Leasing'!$I$17),ISNUMBER('Assumptions'!$D$70)),'Academic Leasing'!$H$17*'Academic Leasing'!$I$17*'Assumptions'!$D$70,"n.a."),"n.a.")</x:f>
        <x:v>0</x:v>
      </x:c>
      <x:c r="O14" s="51" t="n">
        <x:f>IF(AND('Academic Leasing'!N18="OK"),IF(AND(ISNUMBER('Academic Leasing'!$H$18),ISNUMBER('Academic Leasing'!$I$18),ISNUMBER('Assumptions'!$D$70)),'Academic Leasing'!$H$18*'Academic Leasing'!$I$18*'Assumptions'!$D$70,"n.a."),"n.a.")</x:f>
        <x:v>0</x:v>
      </x:c>
      <x:c r="P14" s="51" t="n">
        <x:f>IF(AND('Academic Leasing'!N19="OK"),IF(AND(ISNUMBER('Academic Leasing'!$H$19),ISNUMBER('Academic Leasing'!$I$19),ISNUMBER('Assumptions'!$D$70)),'Academic Leasing'!$H$19*'Academic Leasing'!$I$19*'Assumptions'!$D$70,"n.a."),"n.a.")</x:f>
        <x:v>0</x:v>
      </x:c>
      <x:c r="Q14" s="51" t="n">
        <x:f>IF(AND('Academic Leasing'!N20="OK"),IF(AND(ISNUMBER('Academic Leasing'!$H$20),ISNUMBER('Academic Leasing'!$I$20),ISNUMBER('Assumptions'!$D$70)),'Academic Leasing'!$H$20*'Academic Leasing'!$I$20*'Assumptions'!$D$70,"n.a."),"n.a.")</x:f>
        <x:v>0</x:v>
      </x:c>
      <x:c r="R14" s="51" t="n">
        <x:f>IF(AND('Academic Leasing'!N21="OK"),IF(AND(ISNUMBER('Academic Leasing'!$H$21),ISNUMBER('Academic Leasing'!$I$21),ISNUMBER('Assumptions'!$D$70)),'Academic Leasing'!$H$21*'Academic Leasing'!$I$21*'Assumptions'!$D$70,"n.a."),"n.a.")</x:f>
        <x:v>0</x:v>
      </x:c>
    </x:row>
    <x:row r="15" ht="21" customHeight="1">
      <x:c r="A15" s="2"/>
      <x:c r="B15" s="2"/>
      <x:c r="C15" s="2" t="str">
        <x:v>Fixed property / entity costs</x:v>
      </x:c>
      <x:c r="D15" s="2" t="str">
        <x:v>USD</x:v>
      </x:c>
      <x:c r="E15" s="52" t="n">
        <x:f>IF(COUNT(G15:R15)=12,SUM(G15:R15),"n.a.")</x:f>
        <x:v>180000</x:v>
      </x:c>
      <x:c r="F15" s="2"/>
      <x:c r="G15" s="51" t="n">
        <x:f>IF(AND(ISNUMBER('Assumptions'!$D$55)),'Assumptions'!$D$55/12,"n.a.")</x:f>
        <x:v>15000</x:v>
      </x:c>
      <x:c r="H15" s="51" t="n">
        <x:f>IF(AND(ISNUMBER('Assumptions'!$D$55)),'Assumptions'!$D$55/12,"n.a.")</x:f>
        <x:v>15000</x:v>
      </x:c>
      <x:c r="I15" s="51" t="n">
        <x:f>IF(AND(ISNUMBER('Assumptions'!$D$55)),'Assumptions'!$D$55/12,"n.a.")</x:f>
        <x:v>15000</x:v>
      </x:c>
      <x:c r="J15" s="51" t="n">
        <x:f>IF(AND(ISNUMBER('Assumptions'!$D$55)),'Assumptions'!$D$55/12,"n.a.")</x:f>
        <x:v>15000</x:v>
      </x:c>
      <x:c r="K15" s="51" t="n">
        <x:f>IF(AND(ISNUMBER('Assumptions'!$D$55)),'Assumptions'!$D$55/12,"n.a.")</x:f>
        <x:v>15000</x:v>
      </x:c>
      <x:c r="L15" s="51" t="n">
        <x:f>IF(AND(ISNUMBER('Assumptions'!$D$55)),'Assumptions'!$D$55/12,"n.a.")</x:f>
        <x:v>15000</x:v>
      </x:c>
      <x:c r="M15" s="51" t="n">
        <x:f>IF(AND(ISNUMBER('Assumptions'!$D$55)),'Assumptions'!$D$55/12,"n.a.")</x:f>
        <x:v>15000</x:v>
      </x:c>
      <x:c r="N15" s="51" t="n">
        <x:f>IF(AND(ISNUMBER('Assumptions'!$D$55)),'Assumptions'!$D$55/12,"n.a.")</x:f>
        <x:v>15000</x:v>
      </x:c>
      <x:c r="O15" s="51" t="n">
        <x:f>IF(AND(ISNUMBER('Assumptions'!$D$55)),'Assumptions'!$D$55/12,"n.a.")</x:f>
        <x:v>15000</x:v>
      </x:c>
      <x:c r="P15" s="51" t="n">
        <x:f>IF(AND(ISNUMBER('Assumptions'!$D$55)),'Assumptions'!$D$55/12,"n.a.")</x:f>
        <x:v>15000</x:v>
      </x:c>
      <x:c r="Q15" s="51" t="n">
        <x:f>IF(AND(ISNUMBER('Assumptions'!$D$55)),'Assumptions'!$D$55/12,"n.a.")</x:f>
        <x:v>15000</x:v>
      </x:c>
      <x:c r="R15" s="51" t="n">
        <x:f>IF(AND(ISNUMBER('Assumptions'!$D$55)),'Assumptions'!$D$55/12,"n.a.")</x:f>
        <x:v>15000</x:v>
      </x:c>
    </x:row>
    <x:row r="16" ht="21" customHeight="1">
      <x:c r="A16" s="2"/>
      <x:c r="B16" s="2"/>
      <x:c r="C16" s="57" t="str">
        <x:v>Total cash operating costs</x:v>
      </x:c>
      <x:c r="D16" s="57" t="str">
        <x:v>USD</x:v>
      </x:c>
      <x:c r="E16" s="58" t="n">
        <x:f>IF(COUNT(G16:R16)=12,SUM(G16:R16),"n.a.")</x:f>
        <x:v>276390</x:v>
      </x:c>
      <x:c r="F16" s="57"/>
      <x:c r="G16" s="58" t="n">
        <x:f>IF(AND(ISNUMBER(G13),ISNUMBER(G15)),G13+G15,"n.a.")</x:f>
        <x:v>24690</x:v>
      </x:c>
      <x:c r="H16" s="58" t="n">
        <x:f>IF(AND(ISNUMBER(H13),ISNUMBER(H15)),H13+H15,"n.a.")</x:f>
        <x:v>24690</x:v>
      </x:c>
      <x:c r="I16" s="58" t="n">
        <x:f>IF(AND(ISNUMBER(I13),ISNUMBER(I15)),I13+I15,"n.a.")</x:f>
        <x:v>24690</x:v>
      </x:c>
      <x:c r="J16" s="58" t="n">
        <x:f>IF(AND(ISNUMBER(J13),ISNUMBER(J15)),J13+J15,"n.a.")</x:f>
        <x:v>24690</x:v>
      </x:c>
      <x:c r="K16" s="58" t="n">
        <x:f>IF(AND(ISNUMBER(K13),ISNUMBER(K15)),K13+K15,"n.a.")</x:f>
        <x:v>18060</x:v>
      </x:c>
      <x:c r="L16" s="58" t="n">
        <x:f>IF(AND(ISNUMBER(L13),ISNUMBER(L15)),L13+L15,"n.a.")</x:f>
        <x:v>18060</x:v>
      </x:c>
      <x:c r="M16" s="58" t="n">
        <x:f>IF(AND(ISNUMBER(M13),ISNUMBER(M15)),M13+M15,"n.a.")</x:f>
        <x:v>18060</x:v>
      </x:c>
      <x:c r="N16" s="58" t="n">
        <x:f>IF(AND(ISNUMBER(N13),ISNUMBER(N15)),N13+N15,"n.a.")</x:f>
        <x:v>24690</x:v>
      </x:c>
      <x:c r="O16" s="58" t="n">
        <x:f>IF(AND(ISNUMBER(O13),ISNUMBER(O15)),O13+O15,"n.a.")</x:f>
        <x:v>24690</x:v>
      </x:c>
      <x:c r="P16" s="58" t="n">
        <x:f>IF(AND(ISNUMBER(P13),ISNUMBER(P15)),P13+P15,"n.a.")</x:f>
        <x:v>24690</x:v>
      </x:c>
      <x:c r="Q16" s="58" t="n">
        <x:f>IF(AND(ISNUMBER(Q13),ISNUMBER(Q15)),Q13+Q15,"n.a.")</x:f>
        <x:v>24690</x:v>
      </x:c>
      <x:c r="R16" s="58" t="n">
        <x:f>IF(AND(ISNUMBER(R13),ISNUMBER(R15)),R13+R15,"n.a.")</x:f>
        <x:v>24690</x:v>
      </x:c>
    </x:row>
    <x:row r="17" ht="21" customHeight="1">
      <x:c r="A17" s="2"/>
      <x:c r="B17" s="2"/>
      <x:c r="C17" s="57" t="str">
        <x:v>NOI / operating cash before reserves</x:v>
      </x:c>
      <x:c r="D17" s="57" t="str">
        <x:v>USD</x:v>
      </x:c>
      <x:c r="E17" s="58" t="n">
        <x:f>IF(COUNT(G17:R17)=12,SUM(G17:R17),"n.a.")</x:f>
        <x:v>687510</x:v>
      </x:c>
      <x:c r="F17" s="57"/>
      <x:c r="G17" s="58" t="n">
        <x:f>IF(AND(ISNUMBER(G12),ISNUMBER(G16)),G12-G16,"n.a.")</x:f>
        <x:v>74710</x:v>
      </x:c>
      <x:c r="H17" s="58" t="n">
        <x:f>IF(AND(ISNUMBER(H12),ISNUMBER(H16)),H12-H16,"n.a.")</x:f>
        <x:v>74710</x:v>
      </x:c>
      <x:c r="I17" s="58" t="n">
        <x:f>IF(AND(ISNUMBER(I12),ISNUMBER(I16)),I12-I16,"n.a.")</x:f>
        <x:v>74710</x:v>
      </x:c>
      <x:c r="J17" s="58" t="n">
        <x:f>IF(AND(ISNUMBER(J12),ISNUMBER(J16)),J12-J16,"n.a.")</x:f>
        <x:v>74710</x:v>
      </x:c>
      <x:c r="K17" s="58" t="n">
        <x:f>IF(AND(ISNUMBER(K12),ISNUMBER(K16)),K12-K16,"n.a.")</x:f>
        <x:v>15040</x:v>
      </x:c>
      <x:c r="L17" s="58" t="n">
        <x:f>IF(AND(ISNUMBER(L12),ISNUMBER(L16)),L12-L16,"n.a.")</x:f>
        <x:v>15040</x:v>
      </x:c>
      <x:c r="M17" s="58" t="n">
        <x:f>IF(AND(ISNUMBER(M12),ISNUMBER(M16)),M12-M16,"n.a.")</x:f>
        <x:v>-14960</x:v>
      </x:c>
      <x:c r="N17" s="58" t="n">
        <x:f>IF(AND(ISNUMBER(N12),ISNUMBER(N16)),N12-N16,"n.a.")</x:f>
        <x:v>74710</x:v>
      </x:c>
      <x:c r="O17" s="58" t="n">
        <x:f>IF(AND(ISNUMBER(O12),ISNUMBER(O16)),O12-O16,"n.a.")</x:f>
        <x:v>74710</x:v>
      </x:c>
      <x:c r="P17" s="58" t="n">
        <x:f>IF(AND(ISNUMBER(P12),ISNUMBER(P16)),P12-P16,"n.a.")</x:f>
        <x:v>74710</x:v>
      </x:c>
      <x:c r="Q17" s="58" t="n">
        <x:f>IF(AND(ISNUMBER(Q12),ISNUMBER(Q16)),Q12-Q16,"n.a.")</x:f>
        <x:v>74710</x:v>
      </x:c>
      <x:c r="R17" s="58" t="n">
        <x:f>IF(AND(ISNUMBER(R12),ISNUMBER(R16)),R12-R16,"n.a.")</x:f>
        <x:v>74710</x:v>
      </x:c>
    </x:row>
    <x:row r="18" ht="21" customHeight="1">
      <x:c r="A18" s="2"/>
      <x:c r="B18" s="2"/>
      <x:c r="C18" s="2" t="str">
        <x:v>Cash replacement reserve deposits</x:v>
      </x:c>
      <x:c r="D18" s="2" t="str">
        <x:v>USD</x:v>
      </x:c>
      <x:c r="E18" s="52" t="n">
        <x:f>IF(COUNT(G18:R18)=12,SUM(G18:R18),"n.a.")</x:f>
        <x:v>28917</x:v>
      </x:c>
      <x:c r="F18" s="2"/>
      <x:c r="G18" s="51" t="n">
        <x:f>IF(AND(ISNUMBER(G12),ISNUMBER('Assumptions'!$D$58)),MAX(0,G12)*'Assumptions'!$D$58,"n.a.")</x:f>
        <x:v>2982</x:v>
      </x:c>
      <x:c r="H18" s="51" t="n">
        <x:f>IF(AND(ISNUMBER(H12),ISNUMBER('Assumptions'!$D$58)),MAX(0,H12)*'Assumptions'!$D$58,"n.a.")</x:f>
        <x:v>2982</x:v>
      </x:c>
      <x:c r="I18" s="51" t="n">
        <x:f>IF(AND(ISNUMBER(I12),ISNUMBER('Assumptions'!$D$58)),MAX(0,I12)*'Assumptions'!$D$58,"n.a.")</x:f>
        <x:v>2982</x:v>
      </x:c>
      <x:c r="J18" s="51" t="n">
        <x:f>IF(AND(ISNUMBER(J12),ISNUMBER('Assumptions'!$D$58)),MAX(0,J12)*'Assumptions'!$D$58,"n.a.")</x:f>
        <x:v>2982</x:v>
      </x:c>
      <x:c r="K18" s="51" t="n">
        <x:f>IF(AND(ISNUMBER(K12),ISNUMBER('Assumptions'!$D$58)),MAX(0,K12)*'Assumptions'!$D$58,"n.a.")</x:f>
        <x:v>993</x:v>
      </x:c>
      <x:c r="L18" s="51" t="n">
        <x:f>IF(AND(ISNUMBER(L12),ISNUMBER('Assumptions'!$D$58)),MAX(0,L12)*'Assumptions'!$D$58,"n.a.")</x:f>
        <x:v>993</x:v>
      </x:c>
      <x:c r="M18" s="51" t="n">
        <x:f>IF(AND(ISNUMBER(M12),ISNUMBER('Assumptions'!$D$58)),MAX(0,M12)*'Assumptions'!$D$58,"n.a.")</x:f>
        <x:v>93</x:v>
      </x:c>
      <x:c r="N18" s="51" t="n">
        <x:f>IF(AND(ISNUMBER(N12),ISNUMBER('Assumptions'!$D$58)),MAX(0,N12)*'Assumptions'!$D$58,"n.a.")</x:f>
        <x:v>2982</x:v>
      </x:c>
      <x:c r="O18" s="51" t="n">
        <x:f>IF(AND(ISNUMBER(O12),ISNUMBER('Assumptions'!$D$58)),MAX(0,O12)*'Assumptions'!$D$58,"n.a.")</x:f>
        <x:v>2982</x:v>
      </x:c>
      <x:c r="P18" s="51" t="n">
        <x:f>IF(AND(ISNUMBER(P12),ISNUMBER('Assumptions'!$D$58)),MAX(0,P12)*'Assumptions'!$D$58,"n.a.")</x:f>
        <x:v>2982</x:v>
      </x:c>
      <x:c r="Q18" s="51" t="n">
        <x:f>IF(AND(ISNUMBER(Q12),ISNUMBER('Assumptions'!$D$58)),MAX(0,Q12)*'Assumptions'!$D$58,"n.a.")</x:f>
        <x:v>2982</x:v>
      </x:c>
      <x:c r="R18" s="51" t="n">
        <x:f>IF(AND(ISNUMBER(R12),ISNUMBER('Assumptions'!$D$58)),MAX(0,R12)*'Assumptions'!$D$58,"n.a.")</x:f>
        <x:v>2982</x:v>
      </x:c>
    </x:row>
    <x:row r="19" ht="21" customHeight="1">
      <x:c r="A19" s="2"/>
      <x:c r="B19" s="2"/>
      <x:c r="C19" s="57" t="str">
        <x:v>Cash NCF before property debt / capital</x:v>
      </x:c>
      <x:c r="D19" s="57" t="str">
        <x:v>USD</x:v>
      </x:c>
      <x:c r="E19" s="58" t="n">
        <x:f>IF(COUNT(G19:R19)=12,SUM(G19:R19),"n.a.")</x:f>
        <x:v>658593</x:v>
      </x:c>
      <x:c r="F19" s="57"/>
      <x:c r="G19" s="58" t="n">
        <x:f>IF(AND(ISNUMBER(G17),ISNUMBER(G18)),G17-G18,"n.a.")</x:f>
        <x:v>71728</x:v>
      </x:c>
      <x:c r="H19" s="58" t="n">
        <x:f>IF(AND(ISNUMBER(H17),ISNUMBER(H18)),H17-H18,"n.a.")</x:f>
        <x:v>71728</x:v>
      </x:c>
      <x:c r="I19" s="58" t="n">
        <x:f>IF(AND(ISNUMBER(I17),ISNUMBER(I18)),I17-I18,"n.a.")</x:f>
        <x:v>71728</x:v>
      </x:c>
      <x:c r="J19" s="58" t="n">
        <x:f>IF(AND(ISNUMBER(J17),ISNUMBER(J18)),J17-J18,"n.a.")</x:f>
        <x:v>71728</x:v>
      </x:c>
      <x:c r="K19" s="58" t="n">
        <x:f>IF(AND(ISNUMBER(K17),ISNUMBER(K18)),K17-K18,"n.a.")</x:f>
        <x:v>14047</x:v>
      </x:c>
      <x:c r="L19" s="58" t="n">
        <x:f>IF(AND(ISNUMBER(L17),ISNUMBER(L18)),L17-L18,"n.a.")</x:f>
        <x:v>14047</x:v>
      </x:c>
      <x:c r="M19" s="58" t="n">
        <x:f>IF(AND(ISNUMBER(M17),ISNUMBER(M18)),M17-M18,"n.a.")</x:f>
        <x:v>-15053</x:v>
      </x:c>
      <x:c r="N19" s="58" t="n">
        <x:f>IF(AND(ISNUMBER(N17),ISNUMBER(N18)),N17-N18,"n.a.")</x:f>
        <x:v>71728</x:v>
      </x:c>
      <x:c r="O19" s="58" t="n">
        <x:f>IF(AND(ISNUMBER(O17),ISNUMBER(O18)),O17-O18,"n.a.")</x:f>
        <x:v>71728</x:v>
      </x:c>
      <x:c r="P19" s="58" t="n">
        <x:f>IF(AND(ISNUMBER(P17),ISNUMBER(P18)),P17-P18,"n.a.")</x:f>
        <x:v>71728</x:v>
      </x:c>
      <x:c r="Q19" s="58" t="n">
        <x:f>IF(AND(ISNUMBER(Q17),ISNUMBER(Q18)),Q17-Q18,"n.a.")</x:f>
        <x:v>71728</x:v>
      </x:c>
      <x:c r="R19" s="58" t="n">
        <x:f>IF(AND(ISNUMBER(R17),ISNUMBER(R18)),R17-R18,"n.a.")</x:f>
        <x:v>71728</x:v>
      </x:c>
    </x:row>
    <x:row r="20" ht="21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  <x:row r="33" ht="21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28" topLeftCell="D29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9" hidden="0" customWidth="1"/>
    <x:col min="4" max="4" width="19" hidden="0" customWidth="1"/>
    <x:col min="5" max="5" width="3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Debt sizing and cash funding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21" customHeight="1">
      <x:c r="A9" s="2"/>
      <x:c r="B9" s="2"/>
      <x:c r="C9" s="2" t="str">
        <x:v>Annual underwritten NCF</x:v>
      </x:c>
      <x:c r="D9" s="51" t="n">
        <x:f>IF(AND(ISNUMBER('Operations'!E19),ISNUMBER('Assumptions'!$D$52)),'Operations'!E19+'Assumptions'!$D$52,"n.a.")</x:f>
        <x:v>658593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</x:row>
    <x:row r="10" ht="21" customHeight="1">
      <x:c r="A10" s="2"/>
      <x:c r="B10" s="2"/>
      <x:c r="C10" s="2" t="str">
        <x:v>Monthly amortizing factor</x:v>
      </x:c>
      <x:c r="D10" s="61" t="n">
        <x:f>IF(AND(ISNUMBER('Assumptions'!$D$31),ISNUMBER('Assumptions'!$D$34)),IF('Assumptions'!$D$31=0,1/('Assumptions'!$D$34*12),('Assumptions'!$D$31/12)/(1-(1+'Assumptions'!$D$31/12)^(-'Assumptions'!$D$34*12))),"n.a.")</x:f>
        <x:v>0.0067520716134764165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1" customHeight="1">
      <x:c r="A11" s="2"/>
      <x:c r="B11" s="2"/>
      <x:c r="C11" s="2" t="str">
        <x:v>DSCR loan capacity</x:v>
      </x:c>
      <x:c r="D11" s="51" t="n">
        <x:f>IF(AND(ISNUMBER(D9),ISNUMBER('Assumptions'!$D$46),ISNUMBER(D10)),MAX(0,D9)/'Assumptions'!$D$46/(D10*12),"n.a.")</x:f>
        <x:v>6502626.529074114</x:v>
      </x:c>
      <x:c r="E11" s="2"/>
      <x:c r="F11" s="2"/>
      <x:c r="G11" s="2" t="str">
        <x:v>Monthly interest is annual rate /12. Amortization starts after IO using the full entered amortization period.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1" customHeight="1">
      <x:c r="A12" s="2"/>
      <x:c r="B12" s="2"/>
      <x:c r="C12" s="2" t="str">
        <x:v>LTV loan capacity</x:v>
      </x:c>
      <x:c r="D12" s="51" t="n">
        <x:f>IF(AND(ISNUMBER('Assumptions'!$D$10),ISNUMBER('Assumptions'!$D$43)),'Assumptions'!$D$10*'Assumptions'!$D$43,"n.a.")</x:f>
        <x:v>3900000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1" customHeight="1">
      <x:c r="A13" s="2"/>
      <x:c r="B13" s="2"/>
      <x:c r="C13" s="2" t="str">
        <x:v>Debt-yield loan capacity</x:v>
      </x:c>
      <x:c r="D13" s="51" t="n">
        <x:f>IF(AND(ISNUMBER(D9),ISNUMBER('Assumptions'!$D$49)),MAX(0,D9)/'Assumptions'!$D$49,"n.a.")</x:f>
        <x:v>7317700</x:v>
      </x:c>
      <x:c r="E13" s="2"/>
      <x:c r="F13" s="2"/>
      <x:c r="G13" s="2" t="str">
        <x:v>Sizing always uses amortizing annual service. Actual first-year DSCR may be higher during IO.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1" customHeight="1">
      <x:c r="A14" s="2"/>
      <x:c r="B14" s="2"/>
      <x:c r="C14" s="2" t="str">
        <x:v>Sized loan amount</x:v>
      </x:c>
      <x:c r="D14" s="51" t="n">
        <x:f>IF(AND(ISNUMBER(D11),ISNUMBER(D12),ISNUMBER(D13),ISNUMBER('Assumptions'!$D$28)),MIN(D11,D12,D13,'Assumptions'!$D$28),"n.a.")</x:f>
        <x:v>3900000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1" customHeight="1">
      <x:c r="A15" s="2"/>
      <x:c r="B15" s="2"/>
      <x:c r="C15" s="2" t="str">
        <x:v>Binding quantitative constraint</x:v>
      </x:c>
      <x:c r="D15" s="13" t="str">
        <x:f>IF(COUNT(D11,D12,D13,D14)=4,IF(D14=D11,"DSCR",IF(D14=D12,"LTV",IF(D14=D13,"Debt yield","Requested ceiling"))),"n.a.")</x:f>
        <x:v>LTV</x:v>
      </x:c>
      <x:c r="E15" s="2"/>
      <x:c r="F15" s="2"/>
      <x:c r="G15" s="2" t="str">
        <x:v>The maturity balloon is principal only; payoff interest, premiums and future refi costs are excluded.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21" customHeight="1">
      <x:c r="A16" s="2"/>
      <x:c r="B16" s="2"/>
      <x:c r="C16" s="2" t="str">
        <x:v>Monthly payment after IO</x:v>
      </x:c>
      <x:c r="D16" s="52" t="n">
        <x:f>IF(AND(ISNUMBER(D14),ISNUMBER(D10)),D14*D10,"n.a.")</x:f>
        <x:v>26333.079292558024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</x:row>
    <x:row r="17" ht="21" customHeight="1">
      <x:c r="A17" s="2"/>
      <x:c r="B17" s="2"/>
      <x:c r="C17" s="2" t="str">
        <x:v>Price, costs and both cash reserves</x:v>
      </x:c>
      <x:c r="D17" s="51" t="n">
        <x:f>IF(AND(ISNUMBER('Assumptions'!$D$13),ISNUMBER('Assumptions'!$D$16),ISNUMBER('Assumptions'!$D$19),ISNUMBER('Assumptions'!$D$22)),'Assumptions'!$D$13+'Assumptions'!$D$16+'Assumptions'!$D$19+'Assumptions'!$D$22,"n.a.")</x:f>
        <x:v>5900000</x:v>
      </x:c>
      <x:c r="E17" s="2"/>
      <x:c r="F17" s="2"/>
      <x:c r="G17" s="2" t="str">
        <x:v>Closing cash funds the operating account. A maturity within month12 is repaid in cash; later maturities are outside this cash horizon.</x:v>
      </x:c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</x:row>
    <x:row r="18" ht="21" customHeight="1">
      <x:c r="A18" s="2"/>
      <x:c r="B18" s="2"/>
      <x:c r="C18" s="2" t="str">
        <x:v>Closing equity / (excess loan proceeds)</x:v>
      </x:c>
      <x:c r="D18" s="52" t="n">
        <x:f>IF(AND(ISNUMBER(D17),ISNUMBER(D14)),D17-D14,"n.a.")</x:f>
        <x:v>2000000</x:v>
      </x:c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</x:row>
    <x:row r="19" ht="21" customHeight="1">
      <x:c r="A19" s="2"/>
      <x:c r="B19" s="2"/>
      <x:c r="C19" s="2" t="str">
        <x:v>Available equity less closing need</x:v>
      </x:c>
      <x:c r="D19" s="51" t="n">
        <x:f>IF(AND(ISNUMBER('Assumptions'!$D$25),ISNUMBER(D18)),'Assumptions'!$D$25-D18,"n.a.")</x:f>
        <x:v>500000</x:v>
      </x:c>
      <x:c r="E19" s="2"/>
      <x:c r="F19" s="2"/>
      <x:c r="G19" s="2" t="str">
        <x:v>Negative closing equity means conditional excess loan proceeds; actual permitted disbursement or cash-out may differ.</x:v>
      </x:c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</x:row>
    <x:row r="20" ht="21" customHeight="1">
      <x:c r="A20" s="2"/>
      <x:c r="B20" s="2"/>
      <x:c r="C20" s="2" t="str">
        <x:v>Scheduled principal at maturity</x:v>
      </x:c>
      <x:c r="D20" s="51" t="n">
        <x:f>IF(AND(ISNUMBER('Assumptions'!$D$40),ISNUMBER('Assumptions'!$D$37),ISNUMBER('Assumptions'!$D$34),ISNUMBER(D14),ISNUMBER('Assumptions'!$D$31),ISNUMBER(D16)),IF(OR('Assumptions'!$D$40&lt;12,'Assumptions'!$D$40&gt;'Assumptions'!$D$37+'Assumptions'!$D$34*12),"n.a.",IF('Assumptions'!$D$40&lt;='Assumptions'!$D$37,D14,MAX(0,IF('Assumptions'!$D$31=0,D14-D16*('Assumptions'!$D$40-'Assumptions'!$D$37),D14*(1+'Assumptions'!$D$31/12)^('Assumptions'!$D$40-'Assumptions'!$D$37)-D16*((1+'Assumptions'!$D$31/12)^('Assumptions'!$D$40-'Assumptions'!$D$37)-1)/('Assumptions'!$D$31/12))))),"n.a.")</x:f>
        <x:v>3574327.7897744942</x:v>
      </x:c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30" customHeight="1">
      <x:c r="A28" s="2"/>
      <x:c r="B28" s="2"/>
      <x:c r="C28" s="2"/>
      <x:c r="D28" s="2"/>
      <x:c r="E28" s="2"/>
      <x:c r="F28" s="2"/>
      <x:c r="G28" s="46" t="n">
        <x:f>'Operations'!G9</x:f>
        <x:v>46388</x:v>
      </x:c>
      <x:c r="H28" s="46" t="n">
        <x:f>'Operations'!H9</x:f>
        <x:v>46419</x:v>
      </x:c>
      <x:c r="I28" s="46" t="n">
        <x:f>'Operations'!I9</x:f>
        <x:v>46447</x:v>
      </x:c>
      <x:c r="J28" s="46" t="n">
        <x:f>'Operations'!J9</x:f>
        <x:v>46478</x:v>
      </x:c>
      <x:c r="K28" s="46" t="n">
        <x:f>'Operations'!K9</x:f>
        <x:v>46508</x:v>
      </x:c>
      <x:c r="L28" s="46" t="n">
        <x:f>'Operations'!L9</x:f>
        <x:v>46539</x:v>
      </x:c>
      <x:c r="M28" s="46" t="n">
        <x:f>'Operations'!M9</x:f>
        <x:v>46569</x:v>
      </x:c>
      <x:c r="N28" s="46" t="n">
        <x:f>'Operations'!N9</x:f>
        <x:v>46600</x:v>
      </x:c>
      <x:c r="O28" s="46" t="n">
        <x:f>'Operations'!O9</x:f>
        <x:v>46631</x:v>
      </x:c>
      <x:c r="P28" s="46" t="n">
        <x:f>'Operations'!P9</x:f>
        <x:v>46661</x:v>
      </x:c>
      <x:c r="Q28" s="46" t="n">
        <x:f>'Operations'!Q9</x:f>
        <x:v>46692</x:v>
      </x:c>
      <x:c r="R28" s="46" t="n">
        <x:f>'Operations'!R9</x:f>
        <x:v>46722</x:v>
      </x:c>
    </x:row>
    <x:row r="29" ht="21" customHeight="1">
      <x:c r="A29" s="2"/>
      <x:c r="B29" s="2"/>
      <x:c r="C29" s="2" t="str">
        <x:v>Opening loan balance</x:v>
      </x:c>
      <x:c r="D29" s="2"/>
      <x:c r="E29" s="2"/>
      <x:c r="F29" s="2"/>
      <x:c r="G29" s="62" t="n">
        <x:f>IF(AND(ISNUMBER(D14)),D14,"n.a.")</x:f>
        <x:v>3900000</x:v>
      </x:c>
      <x:c r="H29" s="62" t="n">
        <x:f>IF(AND(ISNUMBER(G33)),G33,"n.a.")</x:f>
        <x:v>3900000</x:v>
      </x:c>
      <x:c r="I29" s="62" t="n">
        <x:f>IF(AND(ISNUMBER(H33)),H33,"n.a.")</x:f>
        <x:v>3900000</x:v>
      </x:c>
      <x:c r="J29" s="62" t="n">
        <x:f>IF(AND(ISNUMBER(I33)),I33,"n.a.")</x:f>
        <x:v>3900000</x:v>
      </x:c>
      <x:c r="K29" s="62" t="n">
        <x:f>IF(AND(ISNUMBER(J33)),J33,"n.a.")</x:f>
        <x:v>3900000</x:v>
      </x:c>
      <x:c r="L29" s="62" t="n">
        <x:f>IF(AND(ISNUMBER(K33)),K33,"n.a.")</x:f>
        <x:v>3900000</x:v>
      </x:c>
      <x:c r="M29" s="62" t="n">
        <x:f>IF(AND(ISNUMBER(L33)),L33,"n.a.")</x:f>
        <x:v>3900000</x:v>
      </x:c>
      <x:c r="N29" s="62" t="n">
        <x:f>IF(AND(ISNUMBER(M33)),M33,"n.a.")</x:f>
        <x:v>3894791.920707442</x:v>
      </x:c>
      <x:c r="O29" s="62" t="n">
        <x:f>IF(AND(ISNUMBER(N33)),N33,"n.a.")</x:f>
        <x:v>3889555.6309853825</x:v>
      </x:c>
      <x:c r="P29" s="62" t="n">
        <x:f>IF(AND(ISNUMBER(O33)),O33,"n.a.")</x:f>
        <x:v>3884290.9780273284</x:v>
      </x:c>
      <x:c r="Q29" s="62" t="n">
        <x:f>IF(AND(ISNUMBER(P33)),P33,"n.a.")</x:f>
        <x:v>3878997.808199085</x:v>
      </x:c>
      <x:c r="R29" s="62" t="n">
        <x:f>IF(AND(ISNUMBER(Q33)),Q33,"n.a.")</x:f>
        <x:v>3873675.967034272</x:v>
      </x:c>
    </x:row>
    <x:row r="30" ht="21" customHeight="1">
      <x:c r="A30" s="2"/>
      <x:c r="B30" s="2"/>
      <x:c r="C30" s="2" t="str">
        <x:v>Monthly interest</x:v>
      </x:c>
      <x:c r="D30" s="2"/>
      <x:c r="E30" s="2"/>
      <x:c r="F30" s="2"/>
      <x:c r="G30" s="63" t="n">
        <x:f>IF(AND(ISNUMBER(G29),ISNUMBER('Assumptions'!$D$31)),G29*'Assumptions'!$D$31/12,"n.a.")</x:f>
        <x:v>21125</x:v>
      </x:c>
      <x:c r="H30" s="63" t="n">
        <x:f>IF(AND(ISNUMBER(H29),ISNUMBER('Assumptions'!$D$31)),H29*'Assumptions'!$D$31/12,"n.a.")</x:f>
        <x:v>21125</x:v>
      </x:c>
      <x:c r="I30" s="63" t="n">
        <x:f>IF(AND(ISNUMBER(I29),ISNUMBER('Assumptions'!$D$31)),I29*'Assumptions'!$D$31/12,"n.a.")</x:f>
        <x:v>21125</x:v>
      </x:c>
      <x:c r="J30" s="63" t="n">
        <x:f>IF(AND(ISNUMBER(J29),ISNUMBER('Assumptions'!$D$31)),J29*'Assumptions'!$D$31/12,"n.a.")</x:f>
        <x:v>21125</x:v>
      </x:c>
      <x:c r="K30" s="63" t="n">
        <x:f>IF(AND(ISNUMBER(K29),ISNUMBER('Assumptions'!$D$31)),K29*'Assumptions'!$D$31/12,"n.a.")</x:f>
        <x:v>21125</x:v>
      </x:c>
      <x:c r="L30" s="63" t="n">
        <x:f>IF(AND(ISNUMBER(L29),ISNUMBER('Assumptions'!$D$31)),L29*'Assumptions'!$D$31/12,"n.a.")</x:f>
        <x:v>21125</x:v>
      </x:c>
      <x:c r="M30" s="63" t="n">
        <x:f>IF(AND(ISNUMBER(M29),ISNUMBER('Assumptions'!$D$31)),M29*'Assumptions'!$D$31/12,"n.a.")</x:f>
        <x:v>21125</x:v>
      </x:c>
      <x:c r="N30" s="63" t="n">
        <x:f>IF(AND(ISNUMBER(N29),ISNUMBER('Assumptions'!$D$31)),N29*'Assumptions'!$D$31/12,"n.a.")</x:f>
        <x:v>21096.789570498644</x:v>
      </x:c>
      <x:c r="O30" s="63" t="n">
        <x:f>IF(AND(ISNUMBER(O29),ISNUMBER('Assumptions'!$D$31)),O29*'Assumptions'!$D$31/12,"n.a.")</x:f>
        <x:v>21068.426334504158</x:v>
      </x:c>
      <x:c r="P30" s="63" t="n">
        <x:f>IF(AND(ISNUMBER(P29),ISNUMBER('Assumptions'!$D$31)),P29*'Assumptions'!$D$31/12,"n.a.")</x:f>
        <x:v>21039.909464314696</x:v>
      </x:c>
      <x:c r="Q30" s="63" t="n">
        <x:f>IF(AND(ISNUMBER(Q29),ISNUMBER('Assumptions'!$D$31)),Q29*'Assumptions'!$D$31/12,"n.a.")</x:f>
        <x:v>21011.238127745044</x:v>
      </x:c>
      <x:c r="R30" s="63" t="n">
        <x:f>IF(AND(ISNUMBER(R29),ISNUMBER('Assumptions'!$D$31)),R29*'Assumptions'!$D$31/12,"n.a.")</x:f>
        <x:v>20982.41148810231</x:v>
      </x:c>
    </x:row>
    <x:row r="31" ht="21" customHeight="1">
      <x:c r="A31" s="2"/>
      <x:c r="B31" s="2"/>
      <x:c r="C31" s="2" t="str">
        <x:v>Scheduled payment</x:v>
      </x:c>
      <x:c r="D31" s="2"/>
      <x:c r="E31" s="2"/>
      <x:c r="F31" s="2"/>
      <x:c r="G31" s="63" t="n">
        <x:f>IF(AND(ISNUMBER('Assumptions'!$D$37),ISNUMBER(G30),ISNUMBER(G29),ISNUMBER(D16)),IF(1&lt;='Assumptions'!$D$37,G30,MIN(G29+G30,D16)),"n.a.")</x:f>
        <x:v>21125</x:v>
      </x:c>
      <x:c r="H31" s="63" t="n">
        <x:f>IF(AND(ISNUMBER('Assumptions'!$D$37),ISNUMBER(H30),ISNUMBER(H29),ISNUMBER(D16)),IF(2&lt;='Assumptions'!$D$37,H30,MIN(H29+H30,D16)),"n.a.")</x:f>
        <x:v>21125</x:v>
      </x:c>
      <x:c r="I31" s="63" t="n">
        <x:f>IF(AND(ISNUMBER('Assumptions'!$D$37),ISNUMBER(I30),ISNUMBER(I29),ISNUMBER(D16)),IF(3&lt;='Assumptions'!$D$37,I30,MIN(I29+I30,D16)),"n.a.")</x:f>
        <x:v>21125</x:v>
      </x:c>
      <x:c r="J31" s="63" t="n">
        <x:f>IF(AND(ISNUMBER('Assumptions'!$D$37),ISNUMBER(J30),ISNUMBER(J29),ISNUMBER(D16)),IF(4&lt;='Assumptions'!$D$37,J30,MIN(J29+J30,D16)),"n.a.")</x:f>
        <x:v>21125</x:v>
      </x:c>
      <x:c r="K31" s="63" t="n">
        <x:f>IF(AND(ISNUMBER('Assumptions'!$D$37),ISNUMBER(K30),ISNUMBER(K29),ISNUMBER(D16)),IF(5&lt;='Assumptions'!$D$37,K30,MIN(K29+K30,D16)),"n.a.")</x:f>
        <x:v>21125</x:v>
      </x:c>
      <x:c r="L31" s="63" t="n">
        <x:f>IF(AND(ISNUMBER('Assumptions'!$D$37),ISNUMBER(L30),ISNUMBER(L29),ISNUMBER(D16)),IF(6&lt;='Assumptions'!$D$37,L30,MIN(L29+L30,D16)),"n.a.")</x:f>
        <x:v>21125</x:v>
      </x:c>
      <x:c r="M31" s="63" t="n">
        <x:f>IF(AND(ISNUMBER('Assumptions'!$D$37),ISNUMBER(M30),ISNUMBER(M29),ISNUMBER(D16)),IF(7&lt;='Assumptions'!$D$37,M30,MIN(M29+M30,D16)),"n.a.")</x:f>
        <x:v>26333.079292558024</x:v>
      </x:c>
      <x:c r="N31" s="63" t="n">
        <x:f>IF(AND(ISNUMBER('Assumptions'!$D$37),ISNUMBER(N30),ISNUMBER(N29),ISNUMBER(D16)),IF(8&lt;='Assumptions'!$D$37,N30,MIN(N29+N30,D16)),"n.a.")</x:f>
        <x:v>26333.079292558024</x:v>
      </x:c>
      <x:c r="O31" s="63" t="n">
        <x:f>IF(AND(ISNUMBER('Assumptions'!$D$37),ISNUMBER(O30),ISNUMBER(O29),ISNUMBER(D16)),IF(9&lt;='Assumptions'!$D$37,O30,MIN(O29+O30,D16)),"n.a.")</x:f>
        <x:v>26333.079292558024</x:v>
      </x:c>
      <x:c r="P31" s="63" t="n">
        <x:f>IF(AND(ISNUMBER('Assumptions'!$D$37),ISNUMBER(P30),ISNUMBER(P29),ISNUMBER(D16)),IF(10&lt;='Assumptions'!$D$37,P30,MIN(P29+P30,D16)),"n.a.")</x:f>
        <x:v>26333.079292558024</x:v>
      </x:c>
      <x:c r="Q31" s="63" t="n">
        <x:f>IF(AND(ISNUMBER('Assumptions'!$D$37),ISNUMBER(Q30),ISNUMBER(Q29),ISNUMBER(D16)),IF(11&lt;='Assumptions'!$D$37,Q30,MIN(Q29+Q30,D16)),"n.a.")</x:f>
        <x:v>26333.079292558024</x:v>
      </x:c>
      <x:c r="R31" s="63" t="n">
        <x:f>IF(AND(ISNUMBER('Assumptions'!$D$37),ISNUMBER(R30),ISNUMBER(R29),ISNUMBER(D16)),IF(12&lt;='Assumptions'!$D$37,R30,MIN(R29+R30,D16)),"n.a.")</x:f>
        <x:v>26333.079292558024</x:v>
      </x:c>
    </x:row>
    <x:row r="32" ht="21" customHeight="1">
      <x:c r="A32" s="2"/>
      <x:c r="B32" s="2"/>
      <x:c r="C32" s="2" t="str">
        <x:v>Scheduled principal</x:v>
      </x:c>
      <x:c r="D32" s="2"/>
      <x:c r="E32" s="2"/>
      <x:c r="F32" s="2"/>
      <x:c r="G32" s="62" t="n">
        <x:f>IF(AND(ISNUMBER(G31),ISNUMBER(G30)),G31-G30,"n.a.")</x:f>
        <x:v>0</x:v>
      </x:c>
      <x:c r="H32" s="62" t="n">
        <x:f>IF(AND(ISNUMBER(H31),ISNUMBER(H30)),H31-H30,"n.a.")</x:f>
        <x:v>0</x:v>
      </x:c>
      <x:c r="I32" s="62" t="n">
        <x:f>IF(AND(ISNUMBER(I31),ISNUMBER(I30)),I31-I30,"n.a.")</x:f>
        <x:v>0</x:v>
      </x:c>
      <x:c r="J32" s="62" t="n">
        <x:f>IF(AND(ISNUMBER(J31),ISNUMBER(J30)),J31-J30,"n.a.")</x:f>
        <x:v>0</x:v>
      </x:c>
      <x:c r="K32" s="62" t="n">
        <x:f>IF(AND(ISNUMBER(K31),ISNUMBER(K30)),K31-K30,"n.a.")</x:f>
        <x:v>0</x:v>
      </x:c>
      <x:c r="L32" s="62" t="n">
        <x:f>IF(AND(ISNUMBER(L31),ISNUMBER(L30)),L31-L30,"n.a.")</x:f>
        <x:v>0</x:v>
      </x:c>
      <x:c r="M32" s="62" t="n">
        <x:f>IF(AND(ISNUMBER(M31),ISNUMBER(M30)),M31-M30,"n.a.")</x:f>
        <x:v>5208.0792925580245</x:v>
      </x:c>
      <x:c r="N32" s="62" t="n">
        <x:f>IF(AND(ISNUMBER(N31),ISNUMBER(N30)),N31-N30,"n.a.")</x:f>
        <x:v>5236.28972205938</x:v>
      </x:c>
      <x:c r="O32" s="62" t="n">
        <x:f>IF(AND(ISNUMBER(O31),ISNUMBER(O30)),O31-O30,"n.a.")</x:f>
        <x:v>5264.652958053866</x:v>
      </x:c>
      <x:c r="P32" s="62" t="n">
        <x:f>IF(AND(ISNUMBER(P31),ISNUMBER(P30)),P31-P30,"n.a.")</x:f>
        <x:v>5293.169828243328</x:v>
      </x:c>
      <x:c r="Q32" s="62" t="n">
        <x:f>IF(AND(ISNUMBER(Q31),ISNUMBER(Q30)),Q31-Q30,"n.a.")</x:f>
        <x:v>5321.84116481298</x:v>
      </x:c>
      <x:c r="R32" s="62" t="n">
        <x:f>IF(AND(ISNUMBER(R31),ISNUMBER(R30)),R31-R30,"n.a.")</x:f>
        <x:v>5350.667804455716</x:v>
      </x:c>
    </x:row>
    <x:row r="33" ht="21" customHeight="1">
      <x:c r="A33" s="2"/>
      <x:c r="B33" s="2"/>
      <x:c r="C33" s="2" t="str">
        <x:v>Ending loan balance</x:v>
      </x:c>
      <x:c r="D33" s="2"/>
      <x:c r="E33" s="2"/>
      <x:c r="F33" s="2"/>
      <x:c r="G33" s="62" t="n">
        <x:f>IF(AND(ISNUMBER(G29),ISNUMBER(G32),ISNUMBER(G38)),G29-G32-G38,"n.a.")</x:f>
        <x:v>3900000</x:v>
      </x:c>
      <x:c r="H33" s="62" t="n">
        <x:f>IF(AND(ISNUMBER(H29),ISNUMBER(H32),ISNUMBER(H38)),H29-H32-H38,"n.a.")</x:f>
        <x:v>3900000</x:v>
      </x:c>
      <x:c r="I33" s="62" t="n">
        <x:f>IF(AND(ISNUMBER(I29),ISNUMBER(I32),ISNUMBER(I38)),I29-I32-I38,"n.a.")</x:f>
        <x:v>3900000</x:v>
      </x:c>
      <x:c r="J33" s="62" t="n">
        <x:f>IF(AND(ISNUMBER(J29),ISNUMBER(J32),ISNUMBER(J38)),J29-J32-J38,"n.a.")</x:f>
        <x:v>3900000</x:v>
      </x:c>
      <x:c r="K33" s="62" t="n">
        <x:f>IF(AND(ISNUMBER(K29),ISNUMBER(K32),ISNUMBER(K38)),K29-K32-K38,"n.a.")</x:f>
        <x:v>3900000</x:v>
      </x:c>
      <x:c r="L33" s="62" t="n">
        <x:f>IF(AND(ISNUMBER(L29),ISNUMBER(L32),ISNUMBER(L38)),L29-L32-L38,"n.a.")</x:f>
        <x:v>3900000</x:v>
      </x:c>
      <x:c r="M33" s="62" t="n">
        <x:f>IF(AND(ISNUMBER(M29),ISNUMBER(M32),ISNUMBER(M38)),M29-M32-M38,"n.a.")</x:f>
        <x:v>3894791.920707442</x:v>
      </x:c>
      <x:c r="N33" s="62" t="n">
        <x:f>IF(AND(ISNUMBER(N29),ISNUMBER(N32),ISNUMBER(N38)),N29-N32-N38,"n.a.")</x:f>
        <x:v>3889555.6309853825</x:v>
      </x:c>
      <x:c r="O33" s="62" t="n">
        <x:f>IF(AND(ISNUMBER(O29),ISNUMBER(O32),ISNUMBER(O38)),O29-O32-O38,"n.a.")</x:f>
        <x:v>3884290.9780273284</x:v>
      </x:c>
      <x:c r="P33" s="62" t="n">
        <x:f>IF(AND(ISNUMBER(P29),ISNUMBER(P32),ISNUMBER(P38)),P29-P32-P38,"n.a.")</x:f>
        <x:v>3878997.808199085</x:v>
      </x:c>
      <x:c r="Q33" s="62" t="n">
        <x:f>IF(AND(ISNUMBER(Q29),ISNUMBER(Q32),ISNUMBER(Q38)),Q29-Q32-Q38,"n.a.")</x:f>
        <x:v>3873675.967034272</x:v>
      </x:c>
      <x:c r="R33" s="62" t="n">
        <x:f>IF(AND(ISNUMBER(R29),ISNUMBER(R32),ISNUMBER(R38)),R29-R32-R38,"n.a.")</x:f>
        <x:v>3868325.299229816</x:v>
      </x:c>
    </x:row>
    <x:row r="34" ht="21" customHeight="1">
      <x:c r="A34" s="2"/>
      <x:c r="B34" s="2"/>
      <x:c r="C34" s="2" t="str">
        <x:v>Operating cash NCF</x:v>
      </x:c>
      <x:c r="D34" s="2"/>
      <x:c r="E34" s="2"/>
      <x:c r="F34" s="2"/>
      <x:c r="G34" s="63" t="n">
        <x:f>IF(AND(ISNUMBER('Operations'!G19)),'Operations'!G19,"n.a.")</x:f>
        <x:v>71728</x:v>
      </x:c>
      <x:c r="H34" s="63" t="n">
        <x:f>IF(AND(ISNUMBER('Operations'!H19)),'Operations'!H19,"n.a.")</x:f>
        <x:v>71728</x:v>
      </x:c>
      <x:c r="I34" s="63" t="n">
        <x:f>IF(AND(ISNUMBER('Operations'!I19)),'Operations'!I19,"n.a.")</x:f>
        <x:v>71728</x:v>
      </x:c>
      <x:c r="J34" s="63" t="n">
        <x:f>IF(AND(ISNUMBER('Operations'!J19)),'Operations'!J19,"n.a.")</x:f>
        <x:v>71728</x:v>
      </x:c>
      <x:c r="K34" s="63" t="n">
        <x:f>IF(AND(ISNUMBER('Operations'!K19)),'Operations'!K19,"n.a.")</x:f>
        <x:v>14047</x:v>
      </x:c>
      <x:c r="L34" s="63" t="n">
        <x:f>IF(AND(ISNUMBER('Operations'!L19)),'Operations'!L19,"n.a.")</x:f>
        <x:v>14047</x:v>
      </x:c>
      <x:c r="M34" s="63" t="n">
        <x:f>IF(AND(ISNUMBER('Operations'!M19)),'Operations'!M19,"n.a.")</x:f>
        <x:v>-15053</x:v>
      </x:c>
      <x:c r="N34" s="63" t="n">
        <x:f>IF(AND(ISNUMBER('Operations'!N19)),'Operations'!N19,"n.a.")</x:f>
        <x:v>71728</x:v>
      </x:c>
      <x:c r="O34" s="63" t="n">
        <x:f>IF(AND(ISNUMBER('Operations'!O19)),'Operations'!O19,"n.a.")</x:f>
        <x:v>71728</x:v>
      </x:c>
      <x:c r="P34" s="63" t="n">
        <x:f>IF(AND(ISNUMBER('Operations'!P19)),'Operations'!P19,"n.a.")</x:f>
        <x:v>71728</x:v>
      </x:c>
      <x:c r="Q34" s="63" t="n">
        <x:f>IF(AND(ISNUMBER('Operations'!Q19)),'Operations'!Q19,"n.a.")</x:f>
        <x:v>71728</x:v>
      </x:c>
      <x:c r="R34" s="63" t="n">
        <x:f>IF(AND(ISNUMBER('Operations'!R19)),'Operations'!R19,"n.a.")</x:f>
        <x:v>71728</x:v>
      </x:c>
    </x:row>
    <x:row r="35" ht="21" customHeight="1">
      <x:c r="A35" s="2"/>
      <x:c r="B35" s="2"/>
      <x:c r="C35" s="2" t="str">
        <x:v>Capital-work cash</x:v>
      </x:c>
      <x:c r="D35" s="2"/>
      <x:c r="E35" s="2"/>
      <x:c r="F35" s="2"/>
      <x:c r="G35" s="63" t="n">
        <x:f>IF(AND(ISNUMBER('Operations'!G14)),'Operations'!G14,"n.a.")</x:f>
        <x:v>0</x:v>
      </x:c>
      <x:c r="H35" s="63" t="n">
        <x:f>IF(AND(ISNUMBER('Operations'!H14)),'Operations'!H14,"n.a.")</x:f>
        <x:v>0</x:v>
      </x:c>
      <x:c r="I35" s="63" t="n">
        <x:f>IF(AND(ISNUMBER('Operations'!I14)),'Operations'!I14,"n.a.")</x:f>
        <x:v>0</x:v>
      </x:c>
      <x:c r="J35" s="63" t="n">
        <x:f>IF(AND(ISNUMBER('Operations'!J14)),'Operations'!J14,"n.a.")</x:f>
        <x:v>0</x:v>
      </x:c>
      <x:c r="K35" s="63" t="n">
        <x:f>IF(AND(ISNUMBER('Operations'!K14)),'Operations'!K14,"n.a.")</x:f>
        <x:v>0</x:v>
      </x:c>
      <x:c r="L35" s="63" t="n">
        <x:f>IF(AND(ISNUMBER('Operations'!L14)),'Operations'!L14,"n.a.")</x:f>
        <x:v>0</x:v>
      </x:c>
      <x:c r="M35" s="63" t="n">
        <x:f>IF(AND(ISNUMBER('Operations'!M14)),'Operations'!M14,"n.a.")</x:f>
        <x:v>70000</x:v>
      </x:c>
      <x:c r="N35" s="63" t="n">
        <x:f>IF(AND(ISNUMBER('Operations'!N14)),'Operations'!N14,"n.a.")</x:f>
        <x:v>0</x:v>
      </x:c>
      <x:c r="O35" s="63" t="n">
        <x:f>IF(AND(ISNUMBER('Operations'!O14)),'Operations'!O14,"n.a.")</x:f>
        <x:v>0</x:v>
      </x:c>
      <x:c r="P35" s="63" t="n">
        <x:f>IF(AND(ISNUMBER('Operations'!P14)),'Operations'!P14,"n.a.")</x:f>
        <x:v>0</x:v>
      </x:c>
      <x:c r="Q35" s="63" t="n">
        <x:f>IF(AND(ISNUMBER('Operations'!Q14)),'Operations'!Q14,"n.a.")</x:f>
        <x:v>0</x:v>
      </x:c>
      <x:c r="R35" s="63" t="n">
        <x:f>IF(AND(ISNUMBER('Operations'!R14)),'Operations'!R14,"n.a.")</x:f>
        <x:v>0</x:v>
      </x:c>
    </x:row>
    <x:row r="36" ht="21" customHeight="1">
      <x:c r="A36" s="2"/>
      <x:c r="B36" s="2"/>
      <x:c r="C36" s="2" t="str">
        <x:v>Cash after debt and capital</x:v>
      </x:c>
      <x:c r="D36" s="2"/>
      <x:c r="E36" s="2"/>
      <x:c r="F36" s="2"/>
      <x:c r="G36" s="62" t="n">
        <x:f>IF(AND(ISNUMBER(G34),ISNUMBER(G31),ISNUMBER(G35),ISNUMBER(G38)),G34-G31-G35-G38,"n.a.")</x:f>
        <x:v>50603</x:v>
      </x:c>
      <x:c r="H36" s="62" t="n">
        <x:f>IF(AND(ISNUMBER(H34),ISNUMBER(H31),ISNUMBER(H35),ISNUMBER(H38)),H34-H31-H35-H38,"n.a.")</x:f>
        <x:v>50603</x:v>
      </x:c>
      <x:c r="I36" s="62" t="n">
        <x:f>IF(AND(ISNUMBER(I34),ISNUMBER(I31),ISNUMBER(I35),ISNUMBER(I38)),I34-I31-I35-I38,"n.a.")</x:f>
        <x:v>50603</x:v>
      </x:c>
      <x:c r="J36" s="62" t="n">
        <x:f>IF(AND(ISNUMBER(J34),ISNUMBER(J31),ISNUMBER(J35),ISNUMBER(J38)),J34-J31-J35-J38,"n.a.")</x:f>
        <x:v>50603</x:v>
      </x:c>
      <x:c r="K36" s="62" t="n">
        <x:f>IF(AND(ISNUMBER(K34),ISNUMBER(K31),ISNUMBER(K35),ISNUMBER(K38)),K34-K31-K35-K38,"n.a.")</x:f>
        <x:v>-7078</x:v>
      </x:c>
      <x:c r="L36" s="62" t="n">
        <x:f>IF(AND(ISNUMBER(L34),ISNUMBER(L31),ISNUMBER(L35),ISNUMBER(L38)),L34-L31-L35-L38,"n.a.")</x:f>
        <x:v>-7078</x:v>
      </x:c>
      <x:c r="M36" s="62" t="n">
        <x:f>IF(AND(ISNUMBER(M34),ISNUMBER(M31),ISNUMBER(M35),ISNUMBER(M38)),M34-M31-M35-M38,"n.a.")</x:f>
        <x:v>-111386.07929255802</x:v>
      </x:c>
      <x:c r="N36" s="62" t="n">
        <x:f>IF(AND(ISNUMBER(N34),ISNUMBER(N31),ISNUMBER(N35),ISNUMBER(N38)),N34-N31-N35-N38,"n.a.")</x:f>
        <x:v>45394.920707441976</x:v>
      </x:c>
      <x:c r="O36" s="62" t="n">
        <x:f>IF(AND(ISNUMBER(O34),ISNUMBER(O31),ISNUMBER(O35),ISNUMBER(O38)),O34-O31-O35-O38,"n.a.")</x:f>
        <x:v>45394.920707441976</x:v>
      </x:c>
      <x:c r="P36" s="62" t="n">
        <x:f>IF(AND(ISNUMBER(P34),ISNUMBER(P31),ISNUMBER(P35),ISNUMBER(P38)),P34-P31-P35-P38,"n.a.")</x:f>
        <x:v>45394.920707441976</x:v>
      </x:c>
      <x:c r="Q36" s="62" t="n">
        <x:f>IF(AND(ISNUMBER(Q34),ISNUMBER(Q31),ISNUMBER(Q35),ISNUMBER(Q38)),Q34-Q31-Q35-Q38,"n.a.")</x:f>
        <x:v>45394.920707441976</x:v>
      </x:c>
      <x:c r="R36" s="62" t="n">
        <x:f>IF(AND(ISNUMBER(R34),ISNUMBER(R31),ISNUMBER(R35),ISNUMBER(R38)),R34-R31-R35-R38,"n.a.")</x:f>
        <x:v>45394.920707441976</x:v>
      </x:c>
    </x:row>
    <x:row r="37" ht="21" customHeight="1">
      <x:c r="A37" s="2"/>
      <x:c r="B37" s="2"/>
      <x:c r="C37" s="2" t="str">
        <x:v>Ending operating cash</x:v>
      </x:c>
      <x:c r="D37" s="2"/>
      <x:c r="E37" s="2"/>
      <x:c r="F37" s="2"/>
      <x:c r="G37" s="63" t="n">
        <x:f>IF(AND(ISNUMBER('Assumptions'!$D$22),ISNUMBER(G36)),'Assumptions'!$D$22+G36,"n.a.")</x:f>
        <x:v>200603</x:v>
      </x:c>
      <x:c r="H37" s="62" t="n">
        <x:f>IF(AND(ISNUMBER(G37),ISNUMBER(H36)),G37+H36,"n.a.")</x:f>
        <x:v>251206</x:v>
      </x:c>
      <x:c r="I37" s="62" t="n">
        <x:f>IF(AND(ISNUMBER(H37),ISNUMBER(I36)),H37+I36,"n.a.")</x:f>
        <x:v>301809</x:v>
      </x:c>
      <x:c r="J37" s="62" t="n">
        <x:f>IF(AND(ISNUMBER(I37),ISNUMBER(J36)),I37+J36,"n.a.")</x:f>
        <x:v>352412</x:v>
      </x:c>
      <x:c r="K37" s="62" t="n">
        <x:f>IF(AND(ISNUMBER(J37),ISNUMBER(K36)),J37+K36,"n.a.")</x:f>
        <x:v>345334</x:v>
      </x:c>
      <x:c r="L37" s="62" t="n">
        <x:f>IF(AND(ISNUMBER(K37),ISNUMBER(L36)),K37+L36,"n.a.")</x:f>
        <x:v>338256</x:v>
      </x:c>
      <x:c r="M37" s="62" t="n">
        <x:f>IF(AND(ISNUMBER(L37),ISNUMBER(M36)),L37+M36,"n.a.")</x:f>
        <x:v>226869.92070744198</x:v>
      </x:c>
      <x:c r="N37" s="62" t="n">
        <x:f>IF(AND(ISNUMBER(M37),ISNUMBER(N36)),M37+N36,"n.a.")</x:f>
        <x:v>272264.84141488397</x:v>
      </x:c>
      <x:c r="O37" s="62" t="n">
        <x:f>IF(AND(ISNUMBER(N37),ISNUMBER(O36)),N37+O36,"n.a.")</x:f>
        <x:v>317659.76212232595</x:v>
      </x:c>
      <x:c r="P37" s="62" t="n">
        <x:f>IF(AND(ISNUMBER(O37),ISNUMBER(P36)),O37+P36,"n.a.")</x:f>
        <x:v>363054.68282976793</x:v>
      </x:c>
      <x:c r="Q37" s="62" t="n">
        <x:f>IF(AND(ISNUMBER(P37),ISNUMBER(Q36)),P37+Q36,"n.a.")</x:f>
        <x:v>408449.6035372099</x:v>
      </x:c>
      <x:c r="R37" s="62" t="n">
        <x:f>IF(AND(ISNUMBER(Q37),ISNUMBER(R36)),Q37+R36,"n.a.")</x:f>
        <x:v>453844.5242446519</x:v>
      </x:c>
    </x:row>
    <x:row r="38" ht="21" customHeight="1">
      <x:c r="A38" s="2"/>
      <x:c r="B38" s="2"/>
      <x:c r="C38" s="2" t="str">
        <x:v>Maturity principal cash repayment</x:v>
      </x:c>
      <x:c r="D38" s="2"/>
      <x:c r="E38" s="2"/>
      <x:c r="F38" s="2"/>
      <x:c r="G38" s="63" t="n">
        <x:f>IF(AND(ISNUMBER('Assumptions'!$D$40),ISNUMBER(G29),ISNUMBER(G32)),IF(1='Assumptions'!$D$40,G29-G32,0),"n.a.")</x:f>
        <x:v>0</x:v>
      </x:c>
      <x:c r="H38" s="63" t="n">
        <x:f>IF(AND(ISNUMBER('Assumptions'!$D$40),ISNUMBER(H29),ISNUMBER(H32)),IF(2='Assumptions'!$D$40,H29-H32,0),"n.a.")</x:f>
        <x:v>0</x:v>
      </x:c>
      <x:c r="I38" s="63" t="n">
        <x:f>IF(AND(ISNUMBER('Assumptions'!$D$40),ISNUMBER(I29),ISNUMBER(I32)),IF(3='Assumptions'!$D$40,I29-I32,0),"n.a.")</x:f>
        <x:v>0</x:v>
      </x:c>
      <x:c r="J38" s="63" t="n">
        <x:f>IF(AND(ISNUMBER('Assumptions'!$D$40),ISNUMBER(J29),ISNUMBER(J32)),IF(4='Assumptions'!$D$40,J29-J32,0),"n.a.")</x:f>
        <x:v>0</x:v>
      </x:c>
      <x:c r="K38" s="63" t="n">
        <x:f>IF(AND(ISNUMBER('Assumptions'!$D$40),ISNUMBER(K29),ISNUMBER(K32)),IF(5='Assumptions'!$D$40,K29-K32,0),"n.a.")</x:f>
        <x:v>0</x:v>
      </x:c>
      <x:c r="L38" s="63" t="n">
        <x:f>IF(AND(ISNUMBER('Assumptions'!$D$40),ISNUMBER(L29),ISNUMBER(L32)),IF(6='Assumptions'!$D$40,L29-L32,0),"n.a.")</x:f>
        <x:v>0</x:v>
      </x:c>
      <x:c r="M38" s="63" t="n">
        <x:f>IF(AND(ISNUMBER('Assumptions'!$D$40),ISNUMBER(M29),ISNUMBER(M32)),IF(7='Assumptions'!$D$40,M29-M32,0),"n.a.")</x:f>
        <x:v>0</x:v>
      </x:c>
      <x:c r="N38" s="63" t="n">
        <x:f>IF(AND(ISNUMBER('Assumptions'!$D$40),ISNUMBER(N29),ISNUMBER(N32)),IF(8='Assumptions'!$D$40,N29-N32,0),"n.a.")</x:f>
        <x:v>0</x:v>
      </x:c>
      <x:c r="O38" s="63" t="n">
        <x:f>IF(AND(ISNUMBER('Assumptions'!$D$40),ISNUMBER(O29),ISNUMBER(O32)),IF(9='Assumptions'!$D$40,O29-O32,0),"n.a.")</x:f>
        <x:v>0</x:v>
      </x:c>
      <x:c r="P38" s="63" t="n">
        <x:f>IF(AND(ISNUMBER('Assumptions'!$D$40),ISNUMBER(P29),ISNUMBER(P32)),IF(10='Assumptions'!$D$40,P29-P32,0),"n.a.")</x:f>
        <x:v>0</x:v>
      </x:c>
      <x:c r="Q38" s="63" t="n">
        <x:f>IF(AND(ISNUMBER('Assumptions'!$D$40),ISNUMBER(Q29),ISNUMBER(Q32)),IF(11='Assumptions'!$D$40,Q29-Q32,0),"n.a.")</x:f>
        <x:v>0</x:v>
      </x:c>
      <x:c r="R38" s="63" t="n">
        <x:f>IF(AND(ISNUMBER('Assumptions'!$D$40),ISNUMBER(R29),ISNUMBER(R32)),IF(12='Assumptions'!$D$40,R29-R32,0),"n.a.")</x:f>
        <x:v>0</x:v>
      </x:c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 t="str">
        <x:v>First-year scheduled debt service</x:v>
      </x:c>
      <x:c r="D43" s="52" t="n">
        <x:f>IF(AND(ISNUMBER(G31),ISNUMBER(R31)),IF(COUNT(G31:R31)=12,SUM(G31:R31),"n.a."),"n.a.")</x:f>
        <x:v>284748.4757553481</x:v>
      </x:c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 t="str">
        <x:v>Underwritten NCF / actual year-one DS</x:v>
      </x:c>
      <x:c r="D44" s="64" t="n">
        <x:f>IF(AND(ISNUMBER(D43),ISNUMBER(D9)),IF(D43=0,"n.a.",D9/D43),"n.a.")</x:f>
        <x:v>2.3128938557193677</x:v>
      </x:c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 t="str">
        <x:v>Year-end scheduled principal</x:v>
      </x:c>
      <x:c r="D45" s="52" t="n">
        <x:f>IF(AND(ISNUMBER(R33)),R33,"n.a.")</x:f>
        <x:v>3868325.299229816</x:v>
      </x:c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 t="str">
        <x:v>Extra cash to prevent negative balance</x:v>
      </x:c>
      <x:c r="D46" s="52" t="n">
        <x:f>IF(AND(ISNUMBER(G37),ISNUMBER(R37)),IF(COUNT(G37:R37)=12,MAX(0,-MIN(G37:R37)),"n.a."),"n.a.")</x:f>
        <x:v>0</x:v>
      </x:c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 t="str">
        <x:v>Outside equity after operating shortfall</x:v>
      </x:c>
      <x:c r="D47" s="52" t="n">
        <x:f>IF(AND(ISNUMBER(D19),ISNUMBER(D46)),D19-D46,"n.a.")</x:f>
        <x:v>500000</x:v>
      </x:c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 t="str">
        <x:v>Year-end operating cash</x:v>
      </x:c>
      <x:c r="D48" s="52" t="n">
        <x:f>IF(AND(ISNUMBER(R37)),R37,"n.a.")</x:f>
        <x:v>453844.5242446519</x:v>
      </x:c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  <x:row r="61" ht="21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</x:row>
    <x:row r="62" ht="21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</x:row>
    <x:row r="63" ht="21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</x:row>
    <x:row r="64" ht="21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</x:row>
    <x:row r="65" ht="21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</x:row>
    <x:row r="66" ht="21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</x:row>
    <x:row r="67" ht="21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</x:row>
    <x:row r="68" ht="21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</x:row>
    <x:row r="69" ht="21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</x:row>
    <x:row r="70" ht="21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</x:row>
  </x:sheetData>
  <x:conditionalFormatting sqref="G37:R38">
    <x:cfRule type="cellIs" dxfId="1" priority="1" operator="lessThan">
      <x:formula>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60" hidden="0" customWidth="1"/>
    <x:col min="4" max="4" width="20" hidden="0" customWidth="1"/>
    <x:col min="5" max="5" width="3" hidden="0" customWidth="1"/>
    <x:col min="6" max="6" width="3" hidden="0" customWidth="1"/>
    <x:col min="7" max="7" width="70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Model checks and conventions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1" customHeight="1">
      <x:c r="A7" s="2"/>
      <x:c r="B7" s="2"/>
      <x:c r="C7" s="2" t="str">
        <x:v>Differences should equal 0.00. Missing data remains unavailable.</x:v>
      </x:c>
      <x:c r="D7" s="2"/>
      <x:c r="E7" s="2"/>
      <x:c r="F7" s="2"/>
      <x:c r="G7" s="2"/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Check</x:v>
      </x:c>
      <x:c r="D9" s="21" t="str">
        <x:v>Difference / count</x:v>
      </x:c>
      <x:c r="E9" s="2"/>
      <x:c r="F9" s="2"/>
      <x:c r="G9" s="2"/>
      <x:c r="H9" s="2"/>
      <x:c r="I9" s="2"/>
      <x:c r="J9" s="2"/>
    </x:row>
    <x:row r="10" ht="21" customHeight="1">
      <x:c r="A10" s="2"/>
      <x:c r="B10" s="2"/>
      <x:c r="C10" s="2" t="str">
        <x:v>Selected scalar input failures</x:v>
      </x:c>
      <x:c r="D10" s="73" t="n">
        <x:f>21-COUNT('Assumptions'!$D$10,'Assumptions'!$D$13,'Assumptions'!$D$16,'Assumptions'!$D$19,'Assumptions'!$D$22,'Assumptions'!$D$25,'Assumptions'!$D$28,'Assumptions'!$D$31,'Assumptions'!$D$34,'Assumptions'!$D$37,'Assumptions'!$D$40,'Assumptions'!$D$43,'Assumptions'!$D$46,'Assumptions'!$D$49,'Assumptions'!$D$52,'Assumptions'!$D$55,'Assumptions'!$D$58,'Assumptions'!$D$61,'Assumptions'!$D$64,'Assumptions'!$D$67,'Assumptions'!$D$70)</x:f>
        <x:v>0</x:v>
      </x:c>
      <x:c r="E10" s="2"/>
      <x:c r="F10" s="2"/>
      <x:c r="G10" s="2"/>
      <x:c r="H10" s="2"/>
      <x:c r="I10" s="2"/>
      <x:c r="J10" s="2"/>
    </x:row>
    <x:row r="11" ht="21" customHeight="1">
      <x:c r="A11" s="2"/>
      <x:c r="B11" s="2"/>
      <x:c r="C11" s="2" t="str">
        <x:v>Source rows needing correction</x:v>
      </x:c>
      <x:c r="D11" s="73" t="n">
        <x:f>COUNTIFS('Academic Leasing'!N10:N21,"Missing / invalid input")</x:f>
        <x:v>0</x:v>
      </x:c>
      <x:c r="E11" s="2"/>
      <x:c r="F11" s="2"/>
      <x:c r="G11" s="2"/>
      <x:c r="H11" s="2"/>
      <x:c r="I11" s="2"/>
      <x:c r="J11" s="2"/>
    </x:row>
    <x:row r="12" ht="21" customHeight="1">
      <x:c r="A12" s="2"/>
      <x:c r="B12" s="2"/>
      <x:c r="C12" s="2" t="str">
        <x:v>NOI cash-cost reconciliation</x:v>
      </x:c>
      <x:c r="D12" s="73" t="n">
        <x:f>IF(AND(ISNUMBER('Operations'!E17),ISNUMBER('Operations'!E12),ISNUMBER('Operations'!E16)),'Operations'!E17-'Operations'!E12+'Operations'!E16,"n.a.")</x:f>
        <x:v>0</x:v>
      </x:c>
      <x:c r="E12" s="2"/>
      <x:c r="F12" s="2"/>
      <x:c r="G12" s="2"/>
      <x:c r="H12" s="2"/>
      <x:c r="I12" s="2"/>
      <x:c r="J12" s="2"/>
    </x:row>
    <x:row r="13" ht="21" customHeight="1">
      <x:c r="A13" s="2"/>
      <x:c r="B13" s="2"/>
      <x:c r="C13" s="2" t="str">
        <x:v>NCF reserve reconciliation</x:v>
      </x:c>
      <x:c r="D13" s="73" t="n">
        <x:f>IF(AND(ISNUMBER('Operations'!E19),ISNUMBER('Operations'!E17),ISNUMBER('Operations'!E18)),'Operations'!E19-'Operations'!E17+'Operations'!E18,"n.a.")</x:f>
        <x:v>0</x:v>
      </x:c>
      <x:c r="E13" s="2"/>
      <x:c r="F13" s="2"/>
      <x:c r="G13" s="2"/>
      <x:c r="H13" s="2"/>
      <x:c r="I13" s="2"/>
      <x:c r="J13" s="2"/>
    </x:row>
    <x:row r="14" ht="21" customHeight="1">
      <x:c r="A14" s="2"/>
      <x:c r="B14" s="2"/>
      <x:c r="C14" s="2" t="str">
        <x:v>Debt principal conservation</x:v>
      </x:c>
      <x:c r="D14" s="73" t="n">
        <x:f>IF(COUNT('Debt and Funding'!G32:R32)=12,'Debt and Funding'!D14-SUM('Debt and Funding'!G32:R32)-SUM('Debt and Funding'!G38:R38)-'Debt and Funding'!D45,"n.a.")</x:f>
        <x:v>4.656612873077393e-10</x:v>
      </x:c>
      <x:c r="E14" s="2"/>
      <x:c r="F14" s="2"/>
      <x:c r="G14" s="2"/>
      <x:c r="H14" s="2"/>
      <x:c r="I14" s="2"/>
      <x:c r="J14" s="2"/>
    </x:row>
    <x:row r="15" ht="21" customHeight="1">
      <x:c r="A15" s="2"/>
      <x:c r="B15" s="2"/>
      <x:c r="C15" s="2" t="str">
        <x:v>Operating cash conservation</x:v>
      </x:c>
      <x:c r="D15" s="73" t="n">
        <x:f>IF(COUNT('Debt and Funding'!G34:R36)=36,'Debt and Funding'!R37-'Assumptions'!$D$22-SUM('Debt and Funding'!G34:R34)+SUM('Debt and Funding'!G31:R31)+SUM('Debt and Funding'!G35:R35)+SUM('Debt and Funding'!G38:R38),"n.a.")</x:f>
        <x:v>0</x:v>
      </x:c>
      <x:c r="E15" s="2"/>
      <x:c r="F15" s="2"/>
      <x:c r="G15" s="2"/>
      <x:c r="H15" s="2"/>
      <x:c r="I15" s="2"/>
      <x:c r="J15" s="2"/>
    </x:row>
    <x:row r="16" ht="21" customHeight="1">
      <x:c r="A16" s="2"/>
      <x:c r="B16" s="2"/>
      <x:c r="C16" s="2" t="str">
        <x:v>Closing sources less uses</x:v>
      </x:c>
      <x:c r="D16" s="73" t="n">
        <x:f>IF(AND(ISNUMBER('Debt and Funding'!D14),ISNUMBER('Debt and Funding'!D18),ISNUMBER('Debt and Funding'!D17)),'Debt and Funding'!D14+'Debt and Funding'!D18-'Debt and Funding'!D17,"n.a.")</x:f>
        <x:v>0</x:v>
      </x:c>
      <x:c r="E16" s="2"/>
      <x:c r="F16" s="2"/>
      <x:c r="G16" s="2"/>
      <x:c r="H16" s="2"/>
      <x:c r="I16" s="2"/>
      <x:c r="J16" s="2"/>
    </x:row>
    <x:row r="17" ht="21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1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1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1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1" customHeight="1">
      <x:c r="A23" s="2"/>
      <x:c r="B23" s="2"/>
      <x:c r="C23" s="2" t="str">
        <x:v>May–July use the summer paying fraction; all other months use the academic fraction.</x:v>
      </x:c>
      <x:c r="D23" s="2"/>
      <x:c r="E23" s="2"/>
      <x:c r="F23" s="2"/>
      <x:c r="G23" s="2"/>
      <x:c r="H23" s="2"/>
      <x:c r="I23" s="2"/>
      <x:c r="J23" s="2"/>
    </x:row>
    <x:row r="24" ht="21" customHeight="1">
      <x:c r="A24" s="2"/>
      <x:c r="B24" s="2"/>
      <x:c r="C24" s="2" t="str">
        <x:v>These are illustrative collection periods, not a universal school calendar. Turn</x:v>
      </x:c>
      <x:c r="D24" s="2"/>
      <x:c r="E24" s="2"/>
      <x:c r="F24" s="2"/>
      <x:c r="G24" s="2"/>
      <x:c r="H24" s="2"/>
      <x:c r="I24" s="2"/>
      <x:c r="J24" s="2"/>
    </x:row>
    <x:row r="25" ht="21" customHeight="1">
      <x:c r="A25" s="2"/>
      <x:c r="B25" s="2"/>
      <x:c r="C25" s="2" t="str">
        <x:v>concessions and physical turn costs are separate.</x:v>
      </x:c>
      <x:c r="D25" s="2"/>
      <x:c r="E25" s="2"/>
      <x:c r="F25" s="2"/>
      <x:c r="G25" s="2"/>
      <x:c r="H25" s="2"/>
      <x:c r="I25" s="2"/>
      <x:c r="J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" t="str">
        <x:v>Every numerical assumption is illustrative. No current market quote, legal conclusion or</x:v>
      </x:c>
      <x:c r="D27" s="2"/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" t="str">
        <x:v>lender eligibility is represented.</x:v>
      </x:c>
      <x:c r="D28" s="2"/>
      <x:c r="E28" s="2"/>
      <x:c r="F28" s="2"/>
      <x:c r="G28" s="2"/>
      <x:c r="H28" s="2"/>
      <x:c r="I28" s="2"/>
      <x:c r="J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1" customHeight="1">
      <x:c r="A30" s="2"/>
      <x:c r="B30" s="2"/>
      <x:c r="C30" s="2" t="str">
        <x:v>NCF is a modeled cash measure after cash reserve deposits. An actual lender may adjust</x:v>
      </x:c>
      <x:c r="D30" s="2"/>
      <x:c r="E30" s="2"/>
      <x:c r="F30" s="2"/>
      <x:c r="G30" s="2"/>
      <x:c r="H30" s="2"/>
      <x:c r="I30" s="2"/>
      <x:c r="J30" s="2"/>
    </x:row>
    <x:row r="31" ht="21" customHeight="1">
      <x:c r="A31" s="2"/>
      <x:c r="B31" s="2"/>
      <x:c r="C31" s="2" t="str">
        <x:v>income, expenses, reserves, tax and business cash differently.</x:v>
      </x:c>
      <x:c r="D31" s="2"/>
      <x:c r="E31" s="2"/>
      <x:c r="F31" s="2"/>
      <x:c r="G31" s="2"/>
      <x:c r="H31" s="2"/>
      <x:c r="I31" s="2"/>
      <x:c r="J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1" customHeight="1">
      <x:c r="A33" s="2"/>
      <x:c r="B33" s="2"/>
      <x:c r="C33" s="2" t="str">
        <x:v>No tax return, appraisal, legal compliance, guaranty capacity or refinancing approval is</x:v>
      </x:c>
      <x:c r="D33" s="2"/>
      <x:c r="E33" s="2"/>
      <x:c r="F33" s="2"/>
      <x:c r="G33" s="2"/>
      <x:c r="H33" s="2"/>
      <x:c r="I33" s="2"/>
      <x:c r="J33" s="2"/>
    </x:row>
    <x:row r="34" ht="21" customHeight="1">
      <x:c r="A34" s="2"/>
      <x:c r="B34" s="2"/>
      <x:c r="C34" s="2" t="str">
        <x:v>established by the calculations.</x:v>
      </x:c>
      <x:c r="D34" s="2"/>
      <x:c r="E34" s="2"/>
      <x:c r="F34" s="2"/>
      <x:c r="G34" s="2"/>
      <x:c r="H34" s="2"/>
      <x:c r="I34" s="2"/>
      <x:c r="J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1" customHeight="1">
      <x:c r="A36" s="2"/>
      <x:c r="B36" s="2"/>
      <x:c r="C36" s="2" t="str">
        <x:v>Calculation methods and conventions are shown here. Check Review and replace</x:v>
      </x:c>
      <x:c r="D36" s="2"/>
      <x:c r="E36" s="2"/>
      <x:c r="F36" s="2"/>
      <x:c r="G36" s="2"/>
      <x:c r="H36" s="2"/>
      <x:c r="I36" s="2"/>
      <x:c r="J36" s="2"/>
    </x:row>
    <x:row r="37" ht="21" customHeight="1">
      <x:c r="A37" s="2"/>
      <x:c r="B37" s="2"/>
      <x:c r="C37" s="2" t="str">
        <x:v>illustrative inputs before relying on results.</x:v>
      </x:c>
      <x:c r="D37" s="2"/>
      <x:c r="E37" s="2"/>
      <x:c r="F37" s="2"/>
      <x:c r="G37" s="2"/>
      <x:c r="H37" s="2"/>
      <x:c r="I37" s="2"/>
      <x:c r="J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</x:sheetData>
  <x:conditionalFormatting sqref="D10:D16">
    <x:cfRule type="expression" dxfId="5" priority="1">
      <x:formula>ABS(D10)&gt;0.01</x:formula>
    </x:cfRule>
  </x:conditionalFormatting>
  <x:pageMargins left="0.7" right="0.7" top="0.75" bottom="0.75" header="0.3" footer="0.3"/>
</x:worksheet>
</file>