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31baca6be424f52" /></Relationships>
</file>

<file path=xl/workbook.xml><?xml version="1.0" encoding="utf-8"?>
<x:workbook xmlns:x="http://schemas.openxmlformats.org/spreadsheetml/2006/main">
  <x:sheets>
    <x:sheet xmlns:r="http://schemas.openxmlformats.org/officeDocument/2006/relationships" name="Summary" sheetId="1" r:id="R77f52e3d3acf485c"/>
    <x:sheet xmlns:r="http://schemas.openxmlformats.org/officeDocument/2006/relationships" name="Assumptions" sheetId="2" r:id="Reeeba4e4f2b44c6b"/>
    <x:sheet xmlns:r="http://schemas.openxmlformats.org/officeDocument/2006/relationships" name="Service Bays" sheetId="3" r:id="R8f8254893af54939"/>
    <x:sheet xmlns:r="http://schemas.openxmlformats.org/officeDocument/2006/relationships" name="Operations" sheetId="4" r:id="R752669f0a6fc45b2"/>
    <x:sheet xmlns:r="http://schemas.openxmlformats.org/officeDocument/2006/relationships" name="Debt and Funding" sheetId="5" r:id="R39925adb12974b41"/>
    <x:sheet xmlns:r="http://schemas.openxmlformats.org/officeDocument/2006/relationships" name="Review" sheetId="6" r:id="R8206272cf6744fe6"/>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0##;($#,##0.00##);&quot;—&quot;"/>
    <x:numFmt numFmtId="203" formatCode="  @"/>
    <x:numFmt numFmtId="204" formatCode="0.0%;(0.0%);&quot;—&quot;"/>
    <x:numFmt numFmtId="205" formatCode="0.00&quot;x&quot;"/>
    <x:numFmt numFmtId="206" formatCode="mmm-yy"/>
    <x:numFmt numFmtId="207" formatCode="$#,##0;($#,##0);&quot;—&quot;"/>
    <x:numFmt numFmtId="208" formatCode="0.000000&quot;x&quot;"/>
    <x:numFmt numFmtId="209" formatCode="@"/>
    <x:numFmt numFmtId="210" formatCode="0.00;(0.00);0.00"/>
  </x:numFmts>
  <x:fonts count="16">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
      <x:sz val="10"/>
      <x:name val="Carlito"/>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7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2" fontId="7" fillId="2"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0" fillId="4" borderId="0" xfId="0" applyNumberFormat="1" applyFont="1" applyFill="1" applyBorder="1" applyAlignment="1">
      <x:alignment vertical="center"/>
    </x:xf>
    <x:xf numFmtId="204"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4"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3" fontId="13" fillId="0" borderId="0" xfId="0" applyNumberFormat="1" applyFont="1" applyFill="1" applyBorder="1" applyAlignment="1">
      <x:alignment vertical="center"/>
    </x:xf>
    <x:xf numFmtId="204"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205" fontId="12" fillId="4"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6"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6" fontId="4" fillId="3" borderId="0" xfId="0" applyNumberFormat="1" applyFont="1" applyFill="1" applyBorder="1" applyAlignment="1">
      <x:alignment horizontal="center" vertical="center" wrapText="1"/>
    </x:xf>
    <x:xf numFmtId="206" fontId="8" fillId="3"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3"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207" fontId="1"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7"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7" fontId="10" fillId="0" borderId="0" xfId="0" applyNumberFormat="1" applyFont="1" applyFill="1" applyBorder="1" applyAlignment="1">
      <x:alignment vertical="center"/>
    </x:xf>
    <x:xf numFmtId="207" fontId="10" fillId="4" borderId="0" xfId="0" applyNumberFormat="1" applyFont="1" applyFill="1" applyBorder="1" applyAlignment="1">
      <x:alignment vertical="center"/>
    </x:xf>
    <x:xf numFmtId="0" fontId="9" fillId="4" borderId="1" xfId="0" applyNumberFormat="1" applyFont="1" applyFill="1" applyBorder="1" applyAlignment="1">
      <x:alignment vertical="center"/>
    </x:xf>
    <x:xf numFmtId="207" fontId="10" fillId="4" borderId="1" xfId="0" applyNumberFormat="1" applyFont="1" applyFill="1" applyBorder="1" applyAlignment="1">
      <x:alignment vertical="center"/>
    </x:xf>
    <x:xf numFmtId="205"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7" fontId="6" fillId="0" borderId="0" xfId="0" applyNumberFormat="1" applyFont="1" applyFill="1" applyBorder="1" applyAlignment="1">
      <x:alignment horizontal="right" vertical="center"/>
    </x:xf>
    <x:xf numFmtId="207" fontId="3"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7" fontId="9" fillId="0" borderId="0" xfId="0" applyNumberFormat="1" applyFont="1" applyFill="1" applyBorder="1" applyAlignment="1">
      <x:alignment vertical="center"/>
    </x:xf>
    <x:xf numFmtId="207" fontId="9" fillId="4" borderId="0" xfId="0" applyNumberFormat="1" applyFont="1" applyFill="1" applyBorder="1" applyAlignment="1">
      <x:alignment vertical="center"/>
    </x:xf>
    <x:xf numFmtId="207"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xf numFmtId="0" fontId="15" fillId="0" borderId="0" xfId="0" applyNumberFormat="1" applyFont="1" applyFill="1" applyBorder="1"/>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764fc81e8b249c5" /><Relationship Type="http://schemas.openxmlformats.org/officeDocument/2006/relationships/theme" Target="/xl/theme/theme1.xml" Id="R1a158d1466d245a6" /><Relationship Type="http://schemas.openxmlformats.org/officeDocument/2006/relationships/sharedStrings" Target="/xl/sharedStrings.xml" Id="R7d5edf74a6a34934" /><Relationship Type="http://schemas.openxmlformats.org/officeDocument/2006/relationships/worksheet" Target="/xl/worksheets/sheet1.xml" Id="R77f52e3d3acf485c" /><Relationship Type="http://schemas.openxmlformats.org/officeDocument/2006/relationships/worksheet" Target="/xl/worksheets/sheet2.xml" Id="Reeeba4e4f2b44c6b" /><Relationship Type="http://schemas.openxmlformats.org/officeDocument/2006/relationships/worksheet" Target="/xl/worksheets/sheet3.xml" Id="R8f8254893af54939" /><Relationship Type="http://schemas.openxmlformats.org/officeDocument/2006/relationships/worksheet" Target="/xl/worksheets/sheet4.xml" Id="R752669f0a6fc45b2" /><Relationship Type="http://schemas.openxmlformats.org/officeDocument/2006/relationships/worksheet" Target="/xl/worksheets/sheet5.xml" Id="R39925adb12974b41" /><Relationship Type="http://schemas.openxmlformats.org/officeDocument/2006/relationships/worksheet" Target="/xl/worksheets/sheet6.xml" Id="R8206272cf6744fe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Automotive service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Business cash collections</x:v>
      </x:c>
      <x:c r="D10" s="50" t="n">
        <x:f>'Operations'!E21</x:f>
        <x:v>2243085.1199999996</x:v>
      </x:c>
      <x:c r="E10" s="2"/>
      <x:c r="F10" s="2"/>
      <x:c r="G10" s="68" t="n">
        <x:f>'Operations'!G9</x:f>
        <x:v>46388</x:v>
      </x:c>
      <x:c r="H10" s="69" t="n">
        <x:f>'Debt and Funding'!G36</x:f>
        <x:v>56418.386666666665</x:v>
      </x:c>
      <x:c r="I10" s="69" t="n">
        <x:f>'Debt and Funding'!G37</x:f>
        <x:v>206418.38666666666</x:v>
      </x:c>
      <x:c r="J10" s="69" t="n">
        <x:f>'Debt and Funding'!G33</x:f>
        <x:v>1700000</x:v>
      </x:c>
      <x:c r="K10" s="2"/>
      <x:c r="L10" s="2"/>
    </x:row>
    <x:row r="11" ht="21" customHeight="1">
      <x:c r="A11" s="2"/>
      <x:c r="B11" s="2"/>
      <x:c r="C11" s="2" t="str">
        <x:v>Operating and other cash obligations</x:v>
      </x:c>
      <x:c r="D11" s="50" t="n">
        <x:f>'Operations'!E29</x:f>
        <x:v>1540752</x:v>
      </x:c>
      <x:c r="E11" s="2"/>
      <x:c r="F11" s="2"/>
      <x:c r="G11" s="68" t="n">
        <x:f>'Operations'!H9</x:f>
        <x:v>46419</x:v>
      </x:c>
      <x:c r="H11" s="69" t="n">
        <x:f>'Debt and Funding'!H36</x:f>
        <x:v>48674.06666666666</x:v>
      </x:c>
      <x:c r="I11" s="69" t="n">
        <x:f>'Debt and Funding'!H37</x:f>
        <x:v>255092.4533333333</x:v>
      </x:c>
      <x:c r="J11" s="69" t="n">
        <x:f>'Debt and Funding'!H33</x:f>
        <x:v>1700000</x:v>
      </x:c>
      <x:c r="K11" s="2"/>
      <x:c r="L11" s="2"/>
    </x:row>
    <x:row r="12" ht="21" customHeight="1">
      <x:c r="A12" s="2"/>
      <x:c r="B12" s="2"/>
      <x:c r="C12" s="2" t="str">
        <x:v>Combined cash after business obligations</x:v>
      </x:c>
      <x:c r="D12" s="50" t="n">
        <x:f>'Operations'!E30</x:f>
        <x:v>702333.1200000001</x:v>
      </x:c>
      <x:c r="E12" s="2"/>
      <x:c r="F12" s="2"/>
      <x:c r="G12" s="68" t="n">
        <x:f>'Operations'!I9</x:f>
        <x:v>46447</x:v>
      </x:c>
      <x:c r="H12" s="69" t="n">
        <x:f>'Debt and Funding'!I36</x:f>
        <x:v>48674.06666666666</x:v>
      </x:c>
      <x:c r="I12" s="69" t="n">
        <x:f>'Debt and Funding'!I37</x:f>
        <x:v>303766.51999999996</x:v>
      </x:c>
      <x:c r="J12" s="69" t="n">
        <x:f>'Debt and Funding'!I33</x:f>
        <x:v>1700000</x:v>
      </x:c>
      <x:c r="K12" s="2"/>
      <x:c r="L12" s="2"/>
    </x:row>
    <x:row r="13" ht="21" customHeight="1">
      <x:c r="A13" s="2"/>
      <x:c r="B13" s="2"/>
      <x:c r="C13" s="2" t="str">
        <x:v>Annual reserve deposits</x:v>
      </x:c>
      <x:c r="D13" s="50" t="n">
        <x:f>'Operations'!E31</x:f>
        <x:v>0</x:v>
      </x:c>
      <x:c r="E13" s="2"/>
      <x:c r="F13" s="2"/>
      <x:c r="G13" s="68" t="n">
        <x:f>'Operations'!J9</x:f>
        <x:v>46478</x:v>
      </x:c>
      <x:c r="H13" s="69" t="n">
        <x:f>'Debt and Funding'!J36</x:f>
        <x:v>48674.06666666666</x:v>
      </x:c>
      <x:c r="I13" s="69" t="n">
        <x:f>'Debt and Funding'!J37</x:f>
        <x:v>352440.5866666666</x:v>
      </x:c>
      <x:c r="J13" s="69" t="n">
        <x:f>'Debt and Funding'!J33</x:f>
        <x:v>1700000</x:v>
      </x:c>
      <x:c r="K13" s="2"/>
      <x:c r="L13" s="2"/>
    </x:row>
    <x:row r="14" ht="21" customHeight="1">
      <x:c r="A14" s="2"/>
      <x:c r="B14" s="2"/>
      <x:c r="C14" s="2" t="str">
        <x:v>Cash NCF before debt and capital</x:v>
      </x:c>
      <x:c r="D14" s="50" t="n">
        <x:f>'Operations'!E32</x:f>
        <x:v>702333.1200000001</x:v>
      </x:c>
      <x:c r="E14" s="2"/>
      <x:c r="F14" s="2"/>
      <x:c r="G14" s="68" t="n">
        <x:f>'Operations'!K9</x:f>
        <x:v>46508</x:v>
      </x:c>
      <x:c r="H14" s="69" t="n">
        <x:f>'Debt and Funding'!K36</x:f>
        <x:v>48674.06666666666</x:v>
      </x:c>
      <x:c r="I14" s="69" t="n">
        <x:f>'Debt and Funding'!K37</x:f>
        <x:v>401114.65333333326</x:v>
      </x:c>
      <x:c r="J14" s="69" t="n">
        <x:f>'Debt and Funding'!K33</x:f>
        <x:v>1700000</x:v>
      </x:c>
      <x:c r="K14" s="2"/>
      <x:c r="L14" s="2"/>
    </x:row>
    <x:row r="15" ht="21" customHeight="1">
      <x:c r="A15" s="2"/>
      <x:c r="B15" s="2"/>
      <x:c r="C15" s="2" t="str">
        <x:v>Residual cash used for sizing</x:v>
      </x:c>
      <x:c r="D15" s="50" t="n">
        <x:f>'Debt and Funding'!D9</x:f>
        <x:v>702333.1200000001</x:v>
      </x:c>
      <x:c r="E15" s="2"/>
      <x:c r="F15" s="2"/>
      <x:c r="G15" s="68" t="n">
        <x:f>'Operations'!L9</x:f>
        <x:v>46539</x:v>
      </x:c>
      <x:c r="H15" s="69" t="n">
        <x:f>'Debt and Funding'!L36</x:f>
        <x:v>48674.06666666666</x:v>
      </x:c>
      <x:c r="I15" s="69" t="n">
        <x:f>'Debt and Funding'!L37</x:f>
        <x:v>449788.7199999999</x:v>
      </x:c>
      <x:c r="J15" s="69" t="n">
        <x:f>'Debt and Funding'!L33</x:f>
        <x:v>1700000</x:v>
      </x:c>
      <x:c r="K15" s="2"/>
      <x:c r="L15" s="2"/>
    </x:row>
    <x:row r="16" ht="21" customHeight="1">
      <x:c r="A16" s="2"/>
      <x:c r="B16" s="2"/>
      <x:c r="C16" s="2" t="str">
        <x:v>DSCR loan capacity</x:v>
      </x:c>
      <x:c r="D16" s="50" t="n">
        <x:f>'Debt and Funding'!D11</x:f>
        <x:v>6934495.171311256</x:v>
      </x:c>
      <x:c r="E16" s="2"/>
      <x:c r="F16" s="2"/>
      <x:c r="G16" s="68" t="n">
        <x:f>'Operations'!M9</x:f>
        <x:v>46569</x:v>
      </x:c>
      <x:c r="H16" s="69" t="n">
        <x:f>'Debt and Funding'!M36</x:f>
        <x:v>46403.87825709009</x:v>
      </x:c>
      <x:c r="I16" s="69" t="n">
        <x:f>'Debt and Funding'!M37</x:f>
        <x:v>496192.59825709</x:v>
      </x:c>
      <x:c r="J16" s="69" t="n">
        <x:f>'Debt and Funding'!M33</x:f>
        <x:v>1697729.8115904233</x:v>
      </x:c>
      <x:c r="K16" s="2"/>
      <x:c r="L16" s="2"/>
    </x:row>
    <x:row r="17" ht="21" customHeight="1">
      <x:c r="A17" s="2"/>
      <x:c r="B17" s="2"/>
      <x:c r="C17" s="2" t="str">
        <x:v>LTV loan capacity</x:v>
      </x:c>
      <x:c r="D17" s="50" t="n">
        <x:f>'Debt and Funding'!D12</x:f>
        <x:v>1755000</x:v>
      </x:c>
      <x:c r="E17" s="2"/>
      <x:c r="F17" s="2"/>
      <x:c r="G17" s="68" t="n">
        <x:f>'Operations'!N9</x:f>
        <x:v>46600</x:v>
      </x:c>
      <x:c r="H17" s="69" t="n">
        <x:f>'Debt and Funding'!N36</x:f>
        <x:v>46403.87825709009</x:v>
      </x:c>
      <x:c r="I17" s="69" t="n">
        <x:f>'Debt and Funding'!N37</x:f>
        <x:v>542596.4765141801</x:v>
      </x:c>
      <x:c r="J17" s="69" t="n">
        <x:f>'Debt and Funding'!N33</x:f>
        <x:v>1695447.3263269616</x:v>
      </x:c>
      <x:c r="K17" s="2"/>
      <x:c r="L17" s="2"/>
    </x:row>
    <x:row r="18" ht="21" customHeight="1">
      <x:c r="A18" s="2"/>
      <x:c r="B18" s="2"/>
      <x:c r="C18" s="2" t="str">
        <x:v>Debt-yield loan capacity</x:v>
      </x:c>
      <x:c r="D18" s="50" t="n">
        <x:f>'Debt and Funding'!D13</x:f>
        <x:v>7803701.333333335</x:v>
      </x:c>
      <x:c r="E18" s="2"/>
      <x:c r="F18" s="2"/>
      <x:c r="G18" s="68" t="n">
        <x:f>'Operations'!O9</x:f>
        <x:v>46631</x:v>
      </x:c>
      <x:c r="H18" s="69" t="n">
        <x:f>'Debt and Funding'!O36</x:f>
        <x:v>-48596.12174290991</x:v>
      </x:c>
      <x:c r="I18" s="69" t="n">
        <x:f>'Debt and Funding'!O37</x:f>
        <x:v>494000.3547712702</x:v>
      </x:c>
      <x:c r="J18" s="69" t="n">
        <x:f>'Debt and Funding'!O33</x:f>
        <x:v>1693152.477601656</x:v>
      </x:c>
      <x:c r="K18" s="2"/>
      <x:c r="L18" s="2"/>
    </x:row>
    <x:row r="19" ht="21" customHeight="1">
      <x:c r="A19" s="2"/>
      <x:c r="B19" s="2"/>
      <x:c r="C19" s="56" t="str">
        <x:v>Sized loan</x:v>
      </x:c>
      <x:c r="D19" s="65" t="n">
        <x:f>'Debt and Funding'!D14</x:f>
        <x:v>1700000</x:v>
      </x:c>
      <x:c r="E19" s="2"/>
      <x:c r="F19" s="2"/>
      <x:c r="G19" s="68" t="n">
        <x:f>'Operations'!P9</x:f>
        <x:v>46661</x:v>
      </x:c>
      <x:c r="H19" s="69" t="n">
        <x:f>'Debt and Funding'!P36</x:f>
        <x:v>46403.87825709009</x:v>
      </x:c>
      <x:c r="I19" s="69" t="n">
        <x:f>'Debt and Funding'!P37</x:f>
        <x:v>540404.2330283603</x:v>
      </x:c>
      <x:c r="J19" s="69" t="n">
        <x:f>'Debt and Funding'!P33</x:f>
        <x:v>1690845.198445755</x:v>
      </x:c>
      <x:c r="K19" s="2"/>
      <x:c r="L19" s="2"/>
    </x:row>
    <x:row r="20" ht="21" customHeight="1">
      <x:c r="A20" s="2"/>
      <x:c r="B20" s="2"/>
      <x:c r="C20" s="2" t="str">
        <x:v>Binding constraint (ties may exist)</x:v>
      </x:c>
      <x:c r="D20" s="66" t="str">
        <x:f>'Debt and Funding'!D15</x:f>
        <x:v>Requested ceiling</x:v>
      </x:c>
      <x:c r="E20" s="2"/>
      <x:c r="F20" s="2"/>
      <x:c r="G20" s="68" t="n">
        <x:f>'Operations'!Q9</x:f>
        <x:v>46692</x:v>
      </x:c>
      <x:c r="H20" s="69" t="n">
        <x:f>'Debt and Funding'!Q36</x:f>
        <x:v>46403.87825709009</x:v>
      </x:c>
      <x:c r="I20" s="69" t="n">
        <x:f>'Debt and Funding'!Q37</x:f>
        <x:v>586808.1112854504</x:v>
      </x:c>
      <x:c r="J20" s="69" t="n">
        <x:f>'Debt and Funding'!Q33</x:f>
        <x:v>1688525.4215277596</x:v>
      </x:c>
      <x:c r="K20" s="2"/>
      <x:c r="L20" s="2"/>
    </x:row>
    <x:row r="21" ht="21" customHeight="1">
      <x:c r="A21" s="2"/>
      <x:c r="B21" s="2"/>
      <x:c r="C21" s="2" t="str">
        <x:v>First-year debt service</x:v>
      </x:c>
      <x:c r="D21" s="50" t="n">
        <x:f>'Debt and Funding'!D43</x:f>
        <x:v>124121.13045745948</x:v>
      </x:c>
      <x:c r="E21" s="2"/>
      <x:c r="F21" s="2"/>
      <x:c r="G21" s="68" t="n">
        <x:f>'Operations'!R9</x:f>
        <x:v>46722</x:v>
      </x:c>
      <x:c r="H21" s="69" t="n">
        <x:f>'Debt and Funding'!R36</x:f>
        <x:v>46403.87825709009</x:v>
      </x:c>
      <x:c r="I21" s="69" t="n">
        <x:f>'Debt and Funding'!R37</x:f>
        <x:v>633211.9895425405</x:v>
      </x:c>
      <x:c r="J21" s="69" t="n">
        <x:f>'Debt and Funding'!R33</x:f>
        <x:v>1686193.0791514583</x:v>
      </x:c>
      <x:c r="K21" s="2"/>
      <x:c r="L21" s="2"/>
    </x:row>
    <x:row r="22" ht="21" customHeight="1">
      <x:c r="A22" s="2"/>
      <x:c r="B22" s="2"/>
      <x:c r="C22" s="2" t="str">
        <x:v>Residual cash / property debt service</x:v>
      </x:c>
      <x:c r="D22" s="67" t="n">
        <x:f>'Debt and Funding'!D44</x:f>
        <x:v>5.65844926976969</x:v>
      </x:c>
      <x:c r="E22" s="2"/>
      <x:c r="F22" s="2"/>
      <x:c r="G22" s="2"/>
      <x:c r="H22" s="2"/>
      <x:c r="I22" s="2"/>
      <x:c r="J22" s="2"/>
      <x:c r="K22" s="2"/>
      <x:c r="L22" s="2"/>
    </x:row>
    <x:row r="23" ht="21" customHeight="1">
      <x:c r="A23" s="2"/>
      <x:c r="B23" s="2"/>
      <x:c r="C23" s="2" t="str">
        <x:v>Signed closing equity requirement</x:v>
      </x:c>
      <x:c r="D23" s="50" t="n">
        <x:f>'Debt and Funding'!D18</x:f>
        <x:v>1075000</x:v>
      </x:c>
      <x:c r="E23" s="2"/>
      <x:c r="F23" s="2"/>
      <x:c r="G23" s="2"/>
      <x:c r="H23" s="2"/>
      <x:c r="I23" s="2"/>
      <x:c r="J23" s="2"/>
      <x:c r="K23" s="2"/>
      <x:c r="L23" s="2"/>
    </x:row>
    <x:row r="24" ht="21" customHeight="1">
      <x:c r="A24" s="2"/>
      <x:c r="B24" s="2"/>
      <x:c r="C24" s="2" t="str">
        <x:v>Available equity less closing need</x:v>
      </x:c>
      <x:c r="D24" s="50" t="n">
        <x:f>'Debt and Funding'!D19</x:f>
        <x:v>125000</x:v>
      </x:c>
      <x:c r="E24" s="2"/>
      <x:c r="F24" s="2"/>
      <x:c r="G24" s="2"/>
      <x:c r="H24" s="2"/>
      <x:c r="I24" s="2"/>
      <x:c r="J24" s="2"/>
      <x:c r="K24" s="2"/>
      <x:c r="L24" s="2"/>
    </x:row>
    <x:row r="25" ht="21" customHeight="1">
      <x:c r="A25" s="2"/>
      <x:c r="B25" s="2"/>
      <x:c r="C25" s="2" t="str">
        <x:v>Additional operating cash need</x:v>
      </x:c>
      <x:c r="D25" s="50" t="n">
        <x:f>'Debt and Funding'!D46</x:f>
        <x:v>0</x:v>
      </x:c>
      <x:c r="E25" s="2"/>
      <x:c r="F25" s="2"/>
      <x:c r="G25" s="2" t="str">
        <x:v>Start with Assumptions D5: 1 Base or 2 Downside.</x:v>
      </x:c>
      <x:c r="H25" s="2"/>
      <x:c r="I25" s="2"/>
      <x:c r="J25" s="2"/>
      <x:c r="K25" s="2"/>
      <x:c r="L25" s="2"/>
    </x:row>
    <x:row r="26" ht="21" customHeight="1">
      <x:c r="A26" s="2"/>
      <x:c r="B26" s="2"/>
      <x:c r="C26" s="56" t="str">
        <x:v>Sponsor cash after all modeled needs</x:v>
      </x:c>
      <x:c r="D26" s="65" t="n">
        <x:f>'Debt and Funding'!D47</x:f>
        <x:v>125000</x:v>
      </x:c>
      <x:c r="E26" s="2"/>
      <x:c r="F26" s="2"/>
      <x:c r="G26" s="2"/>
      <x:c r="H26" s="2"/>
      <x:c r="I26" s="2"/>
      <x:c r="J26" s="2"/>
      <x:c r="K26" s="2"/>
      <x:c r="L26" s="2"/>
    </x:row>
    <x:row r="27" ht="21" customHeight="1">
      <x:c r="A27" s="2"/>
      <x:c r="B27" s="2"/>
      <x:c r="C27" s="2" t="str">
        <x:v>Year-end principal</x:v>
      </x:c>
      <x:c r="D27" s="50" t="n">
        <x:f>'Debt and Funding'!D45</x:f>
        <x:v>1686193.0791514583</x:v>
      </x:c>
      <x:c r="E27" s="2"/>
      <x:c r="F27" s="2"/>
      <x:c r="G27" s="2" t="str">
        <x:v>Edit blue cells in Service Bays and Assumptions.</x:v>
      </x:c>
      <x:c r="H27" s="2"/>
      <x:c r="I27" s="2"/>
      <x:c r="J27" s="2"/>
      <x:c r="K27" s="2"/>
      <x:c r="L27" s="2"/>
    </x:row>
    <x:row r="28" ht="21" customHeight="1">
      <x:c r="A28" s="2"/>
      <x:c r="B28" s="2"/>
      <x:c r="C28" s="2" t="str">
        <x:v>Principal due at maturity</x:v>
      </x:c>
      <x:c r="D28" s="50" t="n">
        <x:f>'Debt and Funding'!D20</x:f>
        <x:v>1558040.3186196515</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Real estate collateral value</x:v>
      </x:c>
      <x:c r="D10" s="26" t="n">
        <x:f>IF($D$5=1,IF(ISNUMBER(D11),IF(AND(D11&gt;=0,D11&lt;=1000000000000),D11,"n.a."),"n.a."),IF($D$5=2,IF(ISNUMBER(D12),IF(AND(D12&gt;=0,D12&lt;=1000000000000),D12,"n.a."),"n.a."),"n.a."))</x:f>
        <x:v>2700000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2700000</x:v>
      </x:c>
      <x:c r="E11" s="2"/>
      <x:c r="F11" s="2"/>
      <x:c r="G11" s="2"/>
      <x:c r="H11" s="2"/>
      <x:c r="I11" s="2"/>
      <x:c r="J11" s="2"/>
    </x:row>
    <x:row r="12" ht="35" customHeight="1">
      <x:c r="A12" s="2"/>
      <x:c r="B12" s="2"/>
      <x:c r="C12" s="28" t="str">
        <x:v>Downside</x:v>
      </x:c>
      <x:c r="D12" s="27" t="n">
        <x:v>2300000</x:v>
      </x:c>
      <x:c r="E12" s="2"/>
      <x:c r="F12" s="2"/>
      <x:c r="G12" s="42" t="str">
        <x:v>Missing or invalid selected inputs return n.a.; a valid zero remains zero.</x:v>
      </x:c>
      <x:c r="H12" s="2"/>
      <x:c r="I12" s="2"/>
      <x:c r="J12" s="2"/>
    </x:row>
    <x:row r="13" ht="21" customHeight="1">
      <x:c r="A13" s="2"/>
      <x:c r="B13" s="2"/>
      <x:c r="C13" s="24" t="str">
        <x:v>Real estate acquisition price</x:v>
      </x:c>
      <x:c r="D13" s="26" t="n">
        <x:f>IF($D$5=1,IF(ISNUMBER(D14),IF(AND(D14&gt;=0,D14&lt;=1000000000000),D14,"n.a."),"n.a."),IF($D$5=2,IF(ISNUMBER(D15),IF(AND(D15&gt;=0,D15&lt;=1000000000000),D15,"n.a."),"n.a."),"n.a."))</x:f>
        <x:v>2500000</x:v>
      </x:c>
      <x:c r="E13" s="22" t="str">
        <x:v>USD</x:v>
      </x:c>
      <x:c r="F13" s="2"/>
      <x:c r="G13" s="2"/>
      <x:c r="H13" s="2"/>
      <x:c r="I13" s="2"/>
      <x:c r="J13" s="2"/>
    </x:row>
    <x:row r="14" ht="35" customHeight="1">
      <x:c r="A14" s="2"/>
      <x:c r="B14" s="2"/>
      <x:c r="C14" s="28" t="str">
        <x:v>Base</x:v>
      </x:c>
      <x:c r="D14" s="27" t="n">
        <x:v>2500000</x:v>
      </x:c>
      <x:c r="E14" s="2"/>
      <x:c r="F14" s="2"/>
      <x:c r="G14" s="42" t="str">
        <x:v>Downside inputs feed the same model. Change D5 to recalculate.</x:v>
      </x:c>
      <x:c r="H14" s="2"/>
      <x:c r="I14" s="2"/>
      <x:c r="J14" s="2"/>
    </x:row>
    <x:row r="15" ht="21" customHeight="1">
      <x:c r="A15" s="2"/>
      <x:c r="B15" s="2"/>
      <x:c r="C15" s="28" t="str">
        <x:v>Downside</x:v>
      </x:c>
      <x:c r="D15" s="27" t="n">
        <x:v>2500000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75000</x:v>
      </x:c>
      <x:c r="E16" s="22" t="str">
        <x:v>USD</x:v>
      </x:c>
      <x:c r="F16" s="2"/>
      <x:c r="G16" s="42" t="str">
        <x:v>NCF adjustment changes sizing only, not cash actually available.</x:v>
      </x:c>
      <x:c r="H16" s="2"/>
      <x:c r="I16" s="2"/>
      <x:c r="J16" s="2"/>
    </x:row>
    <x:row r="17" ht="21" customHeight="1">
      <x:c r="A17" s="2"/>
      <x:c r="B17" s="2"/>
      <x:c r="C17" s="28" t="str">
        <x:v>Base</x:v>
      </x:c>
      <x:c r="D17" s="27" t="n">
        <x:v>75000</x:v>
      </x:c>
      <x:c r="E17" s="2"/>
      <x:c r="F17" s="2"/>
      <x:c r="G17" s="2"/>
      <x:c r="H17" s="2"/>
      <x:c r="I17" s="2"/>
      <x:c r="J17" s="2"/>
    </x:row>
    <x:row r="18" ht="35" customHeight="1">
      <x:c r="A18" s="2"/>
      <x:c r="B18" s="2"/>
      <x:c r="C18" s="28" t="str">
        <x:v>Downside</x:v>
      </x:c>
      <x:c r="D18" s="27" t="n">
        <x:v>75000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50000</x:v>
      </x:c>
      <x:c r="E19" s="22" t="str">
        <x:v>USD</x:v>
      </x:c>
      <x:c r="F19" s="2"/>
      <x:c r="G19" s="2"/>
      <x:c r="H19" s="2"/>
      <x:c r="I19" s="2"/>
      <x:c r="J19" s="2"/>
    </x:row>
    <x:row r="20" ht="35" customHeight="1">
      <x:c r="A20" s="2"/>
      <x:c r="B20" s="2"/>
      <x:c r="C20" s="28" t="str">
        <x:v>Base</x:v>
      </x:c>
      <x:c r="D20" s="27" t="n">
        <x:v>50000</x:v>
      </x:c>
      <x:c r="E20" s="2"/>
      <x:c r="F20" s="2"/>
      <x:c r="G20" s="42" t="str">
        <x:v>Restricted closing reserves are not available operating cash.</x:v>
      </x:c>
      <x:c r="H20" s="2"/>
      <x:c r="I20" s="2"/>
      <x:c r="J20" s="2"/>
    </x:row>
    <x:row r="21" ht="21" customHeight="1">
      <x:c r="A21" s="2"/>
      <x:c r="B21" s="2"/>
      <x:c r="C21" s="28" t="str">
        <x:v>Downside</x:v>
      </x:c>
      <x:c r="D21" s="27" t="n">
        <x:v>50000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150000</x:v>
      </x:c>
      <x:c r="E22" s="22" t="str">
        <x:v>USD</x:v>
      </x:c>
      <x:c r="F22" s="2"/>
      <x:c r="G22" s="42" t="str">
        <x:v>Opening operating cash is funded in closing uses exactly once.</x:v>
      </x:c>
      <x:c r="H22" s="2"/>
      <x:c r="I22" s="2"/>
      <x:c r="J22" s="2"/>
    </x:row>
    <x:row r="23" ht="21" customHeight="1">
      <x:c r="A23" s="2"/>
      <x:c r="B23" s="2"/>
      <x:c r="C23" s="28" t="str">
        <x:v>Base</x:v>
      </x:c>
      <x:c r="D23" s="27" t="n">
        <x:v>150000</x:v>
      </x:c>
      <x:c r="E23" s="2"/>
      <x:c r="F23" s="2"/>
      <x:c r="G23" s="2"/>
      <x:c r="H23" s="2"/>
      <x:c r="I23" s="2"/>
      <x:c r="J23" s="2"/>
    </x:row>
    <x:row r="24" ht="35" customHeight="1">
      <x:c r="A24" s="2"/>
      <x:c r="B24" s="2"/>
      <x:c r="C24" s="28" t="str">
        <x:v>Downside</x:v>
      </x:c>
      <x:c r="D24" s="27" t="n">
        <x:v>150000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1200000</x:v>
      </x:c>
      <x:c r="E25" s="22" t="str">
        <x:v>USD</x:v>
      </x:c>
      <x:c r="F25" s="2"/>
      <x:c r="G25" s="2"/>
      <x:c r="H25" s="2"/>
      <x:c r="I25" s="2"/>
      <x:c r="J25" s="2"/>
    </x:row>
    <x:row r="26" ht="21" customHeight="1">
      <x:c r="A26" s="2"/>
      <x:c r="B26" s="2"/>
      <x:c r="C26" s="28" t="str">
        <x:v>Base</x:v>
      </x:c>
      <x:c r="D26" s="27" t="n">
        <x:v>1200000</x:v>
      </x:c>
      <x:c r="E26" s="2"/>
      <x:c r="F26" s="2"/>
      <x:c r="G26" s="2"/>
      <x:c r="H26" s="2"/>
      <x:c r="I26" s="2"/>
      <x:c r="J26" s="2"/>
    </x:row>
    <x:row r="27" ht="21" customHeight="1">
      <x:c r="A27" s="2"/>
      <x:c r="B27" s="2"/>
      <x:c r="C27" s="28" t="str">
        <x:v>Downside</x:v>
      </x:c>
      <x:c r="D27" s="27" t="n">
        <x:v>1200000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1700000</x:v>
      </x:c>
      <x:c r="E28" s="22" t="str">
        <x:v>USD</x:v>
      </x:c>
      <x:c r="F28" s="2"/>
      <x:c r="G28" s="2"/>
      <x:c r="H28" s="2"/>
      <x:c r="I28" s="2"/>
      <x:c r="J28" s="2"/>
    </x:row>
    <x:row r="29" ht="21" customHeight="1">
      <x:c r="A29" s="2"/>
      <x:c r="B29" s="2"/>
      <x:c r="C29" s="28" t="str">
        <x:v>Base</x:v>
      </x:c>
      <x:c r="D29" s="27" t="n">
        <x:v>1700000</x:v>
      </x:c>
      <x:c r="E29" s="2"/>
      <x:c r="F29" s="2"/>
      <x:c r="G29" s="2"/>
      <x:c r="H29" s="2"/>
      <x:c r="I29" s="2"/>
      <x:c r="J29" s="2"/>
    </x:row>
    <x:row r="30" ht="75" customHeight="1">
      <x:c r="A30" s="2"/>
      <x:c r="B30" s="2"/>
      <x:c r="C30" s="28" t="str">
        <x:v>Downside</x:v>
      </x:c>
      <x:c r="D30" s="27" t="n">
        <x:v>1700000</x:v>
      </x:c>
      <x:c r="E30" s="2"/>
      <x:c r="F30" s="2"/>
      <x:c r="G30" s="42" t="str">
        <x:v>Net collectible billings are collected partly in the current month and the balance next month. Opening collectible receivables are collected in month 1. No additional receivable/working-capital deduction is made. Reconcile actual aging, denials and payment timing separately.</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75" customHeight="1">
      <x:c r="A32" s="2"/>
      <x:c r="B32" s="2"/>
      <x:c r="C32" s="34" t="str">
        <x:v>Base</x:v>
      </x:c>
      <x:c r="D32" s="35" t="n">
        <x:v>0.065</x:v>
      </x:c>
      <x:c r="E32" s="36"/>
      <x:c r="F32" s="2"/>
      <x:c r="G32" s="42" t="str">
        <x:v>Bay hours and saleable fraction constrain sold labor hours; staffing and actual repair-order evidence must support that capacity. Parts revenue and cost are separate. Inputs exclude sales tax and customer deposits for unfinished work.</x:v>
      </x:c>
      <x:c r="H32" s="2"/>
      <x:c r="I32" s="2"/>
      <x:c r="J32" s="2"/>
    </x:row>
    <x:row r="33" ht="21" customHeight="1">
      <x:c r="A33" s="2"/>
      <x:c r="B33" s="2"/>
      <x:c r="C33" s="34" t="str">
        <x:v>Downside</x:v>
      </x:c>
      <x:c r="D33" s="35" t="n">
        <x:v>0.08</x:v>
      </x:c>
      <x:c r="E33" s="36"/>
      <x:c r="F33" s="2"/>
      <x:c r="G33" s="2"/>
      <x:c r="H33" s="2"/>
      <x:c r="I33" s="2"/>
      <x:c r="J33" s="2"/>
    </x:row>
    <x:row r="34" ht="75" customHeight="1">
      <x:c r="A34" s="2"/>
      <x:c r="B34" s="2"/>
      <x:c r="C34" s="24" t="str">
        <x:v>Amortization after IO (years)</x:v>
      </x:c>
      <x:c r="D34" s="37" t="n">
        <x:f>IF($D$5=1,IF(ISNUMBER(D35),IF(AND(D35&gt;=1,D35&lt;=50,D35=INT(D35)),D35,"n.a."),"n.a."),IF($D$5=2,IF(ISNUMBER(D36),IF(AND(D36&gt;=1,D36&lt;=50,D36=INT(D36)),D36,"n.a."),"n.a."),"n.a."))</x:f>
        <x:v>25</x:v>
      </x:c>
      <x:c r="E34" s="22" t="str">
        <x:v>years</x:v>
      </x:c>
      <x:c r="F34" s="2"/>
      <x:c r="G34" s="42" t="str">
        <x:v>Collection realization is after discounts, warranty adjustments and expected losses. Parts-cost cash is assumed current with no inventory/payable change; model that separate cash requirement when material.</x:v>
      </x:c>
      <x:c r="H34" s="2"/>
      <x:c r="I34" s="2"/>
      <x:c r="J34" s="2"/>
    </x:row>
    <x:row r="35" ht="21" customHeight="1">
      <x:c r="A35" s="2"/>
      <x:c r="B35" s="2"/>
      <x:c r="C35" s="28" t="str">
        <x:v>Base</x:v>
      </x:c>
      <x:c r="D35" s="16" t="n">
        <x:v>25</x:v>
      </x:c>
      <x:c r="E35" s="2"/>
      <x:c r="F35" s="2"/>
      <x:c r="G35" s="2"/>
      <x:c r="H35" s="2"/>
      <x:c r="I35" s="2"/>
      <x:c r="J35" s="2"/>
    </x:row>
    <x:row r="36" ht="75" customHeight="1">
      <x:c r="A36" s="2"/>
      <x:c r="B36" s="2"/>
      <x:c r="C36" s="28" t="str">
        <x:v>Downside</x:v>
      </x:c>
      <x:c r="D36" s="16" t="n">
        <x:v>25</x:v>
      </x:c>
      <x:c r="E36" s="2"/>
      <x:c r="F36" s="2"/>
      <x:c r="G36" s="42" t="str">
        <x:v>Combined cash is an operating-business and property measure, not property NOI. Other business debt, taxes/distributions and maintenance capital are deducted once before the residual property-debt proxy.</x:v>
      </x:c>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75" customHeight="1">
      <x:c r="A38" s="2"/>
      <x:c r="B38" s="2"/>
      <x:c r="C38" s="28" t="str">
        <x:v>Base</x:v>
      </x:c>
      <x:c r="D38" s="16" t="n">
        <x:v>6</x:v>
      </x:c>
      <x:c r="E38" s="2"/>
      <x:c r="F38" s="2"/>
      <x:c r="G38" s="42" t="str">
        <x:v>Value and acquisition price refer only to the real estate. LTV never applies to enterprise value, goodwill, inventory or equipment. The modeled loan is property debt supported by residual combined cash, not a business-acquisition valuation or program eligibility test.</x:v>
      </x:c>
      <x:c r="H38" s="2"/>
      <x:c r="I38" s="2"/>
      <x:c r="J38" s="2"/>
    </x:row>
    <x:row r="39" ht="21" customHeight="1">
      <x:c r="A39" s="2"/>
      <x:c r="B39" s="2"/>
      <x:c r="C39" s="28" t="str">
        <x:v>Downside</x:v>
      </x:c>
      <x:c r="D39" s="16" t="n">
        <x:v>6</x:v>
      </x:c>
      <x:c r="E39" s="2"/>
      <x:c r="F39" s="2"/>
      <x:c r="G39" s="2"/>
      <x:c r="H39" s="2"/>
      <x:c r="I39" s="2"/>
      <x:c r="J39" s="2"/>
    </x:row>
    <x:row r="40" ht="75" customHeight="1">
      <x:c r="A40" s="2"/>
      <x:c r="B40" s="2"/>
      <x:c r="C40" s="24" t="str">
        <x:v>Loan term (months)</x:v>
      </x:c>
      <x:c r="D40" s="37" t="n">
        <x:f>IF($D$5=1,IF(ISNUMBER(D41),IF(AND(D41&gt;=12,D41&lt;=600,D41=INT(D41)),D41,"n.a."),"n.a."),IF($D$5=2,IF(ISNUMBER(D42),IF(AND(D42&gt;=12,D42&lt;=600,D42=INT(D42)),D42,"n.a."),"n.a."),"n.a."))</x:f>
        <x:v>60</x:v>
      </x:c>
      <x:c r="E40" s="22" t="str">
        <x:v>months</x:v>
      </x:c>
      <x:c r="F40" s="2"/>
      <x:c r="G40" s="42" t="str">
        <x:v>Business purchases, equipment purchases at closing and goodwill are excluded from the example acquisition uses. Reconcile their separate funding and resulting debt obligations before relying on the property-only equity gap. Include additional post-closing equipment or expansion cash in the capital schedule once.</x:v>
      </x:c>
      <x:c r="H40" s="2"/>
      <x:c r="I40" s="2"/>
      <x:c r="J40" s="2"/>
    </x:row>
    <x:row r="41" ht="21" customHeight="1">
      <x:c r="A41" s="2"/>
      <x:c r="B41" s="2"/>
      <x:c r="C41" s="28" t="str">
        <x:v>Base</x:v>
      </x:c>
      <x:c r="D41" s="16" t="n">
        <x:v>60</x:v>
      </x:c>
      <x:c r="E41" s="2"/>
      <x:c r="F41" s="2"/>
      <x:c r="G41" s="2"/>
      <x:c r="H41" s="2"/>
      <x:c r="I41" s="2"/>
      <x:c r="J41" s="2"/>
    </x:row>
    <x:row r="42" ht="75" customHeight="1">
      <x:c r="A42" s="2"/>
      <x:c r="B42" s="2"/>
      <x:c r="C42" s="28" t="str">
        <x:v>Downside</x:v>
      </x:c>
      <x:c r="D42" s="16" t="n">
        <x:v>60</x:v>
      </x:c>
      <x:c r="E42" s="2"/>
      <x:c r="F42" s="2"/>
      <x:c r="G42" s="42" t="str">
        <x:v>Related-party rent is shown and eliminated. External property costs exclude mortgage debt and must not also appear in business operating inputs. No intercompany transfer permission is established.</x:v>
      </x:c>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75" customHeight="1">
      <x:c r="A44" s="2"/>
      <x:c r="B44" s="2"/>
      <x:c r="C44" s="34" t="str">
        <x:v>Base</x:v>
      </x:c>
      <x:c r="D44" s="35" t="n">
        <x:v>0.65</x:v>
      </x:c>
      <x:c r="E44" s="36"/>
      <x:c r="F44" s="2"/>
      <x:c r="G44" s="42" t="str">
        <x:v>Maintenance capital is deducted before sizing. Additional expansion/property capital is deducted below residual cash. Do not enter the same cost in both places.</x:v>
      </x:c>
      <x:c r="H44" s="2"/>
      <x:c r="I44" s="2"/>
      <x:c r="J44" s="2"/>
    </x:row>
    <x:row r="45" ht="21" customHeight="1">
      <x:c r="A45" s="2"/>
      <x:c r="B45" s="2"/>
      <x:c r="C45" s="34" t="str">
        <x:v>Downside</x:v>
      </x:c>
      <x:c r="D45" s="35" t="n">
        <x:v>0.6</x:v>
      </x:c>
      <x:c r="E45" s="36"/>
      <x:c r="F45" s="2"/>
      <x:c r="G45" s="2"/>
      <x:c r="H45" s="2"/>
      <x:c r="I45" s="2"/>
      <x:c r="J45" s="2"/>
    </x:row>
    <x:row r="46" ht="75" customHeight="1">
      <x:c r="A46" s="2"/>
      <x:c r="B46" s="2"/>
      <x:c r="C46" s="31" t="str">
        <x:v>Minimum sizing DSCR</x:v>
      </x:c>
      <x:c r="D46" s="40" t="n">
        <x:f>IF($D$5=1,IF(ISNUMBER(D47),IF(AND(D47&gt;=0.01,D47&lt;=10),D47,"n.a."),"n.a."),IF($D$5=2,IF(ISNUMBER(D48),IF(AND(D48&gt;=0.01,D48&lt;=10),D48,"n.a."),"n.a."),"n.a."))</x:f>
        <x:v>1.25</x:v>
      </x:c>
      <x:c r="E46" s="33" t="str">
        <x:v>x</x:v>
      </x:c>
      <x:c r="F46" s="2"/>
      <x:c r="G46" s="42" t="str">
        <x:v>All amounts are fictional. Residual coverage, value and cash tests do not establish bank DSCR, program eligibility, business value or a loan commitment.</x:v>
      </x:c>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0</x:v>
      </x:c>
      <x:c r="E55" s="22" t="str">
        <x:v>USD</x:v>
      </x:c>
      <x:c r="F55" s="2"/>
      <x:c r="G55" s="2"/>
      <x:c r="H55" s="2"/>
      <x:c r="I55" s="2"/>
      <x:c r="J55" s="2"/>
    </x:row>
    <x:row r="56" ht="21" customHeight="1">
      <x:c r="A56" s="2"/>
      <x:c r="B56" s="2"/>
      <x:c r="C56" s="28" t="str">
        <x:v>Base</x:v>
      </x:c>
      <x:c r="D56" s="27" t="n">
        <x:v>0</x:v>
      </x:c>
      <x:c r="E56" s="2"/>
      <x:c r="F56" s="2"/>
      <x:c r="G56" s="2"/>
      <x:c r="H56" s="2"/>
      <x:c r="I56" s="2"/>
      <x:c r="J56" s="2"/>
    </x:row>
    <x:row r="57" ht="21" customHeight="1">
      <x:c r="A57" s="2"/>
      <x:c r="B57" s="2"/>
      <x:c r="C57" s="28" t="str">
        <x:v>Downside</x:v>
      </x:c>
      <x:c r="D57" s="27" t="n">
        <x:v>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x:v>
      </x:c>
      <x:c r="E58" s="33" t="str">
        <x:v>%</x:v>
      </x:c>
      <x:c r="F58" s="2"/>
      <x:c r="G58" s="2"/>
      <x:c r="H58" s="2"/>
      <x:c r="I58" s="2"/>
      <x:c r="J58" s="2"/>
    </x:row>
    <x:row r="59" ht="21" customHeight="1">
      <x:c r="A59" s="2"/>
      <x:c r="B59" s="2"/>
      <x:c r="C59" s="34" t="str">
        <x:v>Base</x:v>
      </x:c>
      <x:c r="D59" s="35" t="n">
        <x:v>0</x:v>
      </x:c>
      <x:c r="E59" s="36"/>
      <x:c r="F59" s="2"/>
      <x:c r="G59" s="2"/>
      <x:c r="H59" s="2"/>
      <x:c r="I59" s="2"/>
      <x:c r="J59" s="2"/>
    </x:row>
    <x:row r="60" ht="21" customHeight="1">
      <x:c r="A60" s="2"/>
      <x:c r="B60" s="2"/>
      <x:c r="C60" s="34" t="str">
        <x:v>Downside</x:v>
      </x:c>
      <x:c r="D60" s="35" t="n">
        <x:v>0</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4" t="str">
        <x:v>Monthly related-party rent (eliminated)</x:v>
      </x:c>
      <x:c r="D73" s="26" t="n">
        <x:f>IF($D$5=1,IF(ISNUMBER(D74),IF(AND(D74&gt;=0,D74&lt;=1000000000000),D74,"n.a."),"n.a."),IF($D$5=2,IF(ISNUMBER(D75),IF(AND(D75&gt;=0,D75&lt;=1000000000000),D75,"n.a."),"n.a."),"n.a."))</x:f>
        <x:v>12000</x:v>
      </x:c>
      <x:c r="E73" s="22" t="str">
        <x:v>USD</x:v>
      </x:c>
      <x:c r="F73" s="2"/>
      <x:c r="G73" s="2"/>
      <x:c r="H73" s="2"/>
      <x:c r="I73" s="2"/>
      <x:c r="J73" s="2"/>
    </x:row>
    <x:row r="74" ht="21" customHeight="1">
      <x:c r="A74" s="2"/>
      <x:c r="B74" s="2"/>
      <x:c r="C74" s="28" t="str">
        <x:v>Base</x:v>
      </x:c>
      <x:c r="D74" s="27" t="n">
        <x:v>12000</x:v>
      </x:c>
      <x:c r="E74" s="2"/>
      <x:c r="F74" s="2"/>
      <x:c r="G74" s="2"/>
      <x:c r="H74" s="2"/>
      <x:c r="I74" s="2"/>
      <x:c r="J74" s="2"/>
    </x:row>
    <x:row r="75" ht="21" customHeight="1">
      <x:c r="A75" s="2"/>
      <x:c r="B75" s="2"/>
      <x:c r="C75" s="28" t="str">
        <x:v>Downside</x:v>
      </x:c>
      <x:c r="D75" s="27" t="n">
        <x:v>12000</x:v>
      </x:c>
      <x:c r="E75" s="2"/>
      <x:c r="F75" s="2"/>
      <x:c r="G75" s="2"/>
      <x:c r="H75" s="2"/>
      <x:c r="I75" s="2"/>
      <x:c r="J75" s="2"/>
    </x:row>
    <x:row r="76" ht="21" customHeight="1">
      <x:c r="A76" s="2"/>
      <x:c r="B76" s="2"/>
      <x:c r="C76" s="24" t="str">
        <x:v>Monthly external property costs</x:v>
      </x:c>
      <x:c r="D76" s="26" t="n">
        <x:f>IF($D$5=1,IF(ISNUMBER(D77),IF(AND(D77&gt;=0,D77&lt;=1000000000000),D77,"n.a."),"n.a."),IF($D$5=2,IF(ISNUMBER(D78),IF(AND(D78&gt;=0,D78&lt;=1000000000000),D78,"n.a."),"n.a."),"n.a."))</x:f>
        <x:v>6000</x:v>
      </x:c>
      <x:c r="E76" s="22" t="str">
        <x:v>USD</x:v>
      </x:c>
      <x:c r="F76" s="2"/>
      <x:c r="G76" s="2"/>
      <x:c r="H76" s="2"/>
      <x:c r="I76" s="2"/>
      <x:c r="J76" s="2"/>
    </x:row>
    <x:row r="77" ht="21" customHeight="1">
      <x:c r="A77" s="2"/>
      <x:c r="B77" s="2"/>
      <x:c r="C77" s="28" t="str">
        <x:v>Base</x:v>
      </x:c>
      <x:c r="D77" s="27" t="n">
        <x:v>6000</x:v>
      </x:c>
      <x:c r="E77" s="2"/>
      <x:c r="F77" s="2"/>
      <x:c r="G77" s="2"/>
      <x:c r="H77" s="2"/>
      <x:c r="I77" s="2"/>
      <x:c r="J77" s="2"/>
    </x:row>
    <x:row r="78" ht="21" customHeight="1">
      <x:c r="A78" s="2"/>
      <x:c r="B78" s="2"/>
      <x:c r="C78" s="28" t="str">
        <x:v>Downside</x:v>
      </x:c>
      <x:c r="D78" s="27" t="n">
        <x:v>6600</x:v>
      </x:c>
      <x:c r="E78" s="2"/>
      <x:c r="F78" s="2"/>
      <x:c r="G78" s="2"/>
      <x:c r="H78" s="2"/>
      <x:c r="I78" s="2"/>
      <x:c r="J78" s="2"/>
    </x:row>
    <x:row r="79" ht="21" customHeight="1">
      <x:c r="A79" s="2"/>
      <x:c r="B79" s="2"/>
      <x:c r="C79" s="24" t="str">
        <x:v>Monthly non-property debt service</x:v>
      </x:c>
      <x:c r="D79" s="26" t="n">
        <x:f>IF($D$5=1,IF(ISNUMBER(D80),IF(AND(D80&gt;=0,D80&lt;=1000000000000),D80,"n.a."),"n.a."),IF($D$5=2,IF(ISNUMBER(D81),IF(AND(D81&gt;=0,D81&lt;=1000000000000),D81,"n.a."),"n.a."),"n.a."))</x:f>
        <x:v>6000</x:v>
      </x:c>
      <x:c r="E79" s="22" t="str">
        <x:v>USD</x:v>
      </x:c>
      <x:c r="F79" s="2"/>
      <x:c r="G79" s="2"/>
      <x:c r="H79" s="2"/>
      <x:c r="I79" s="2"/>
      <x:c r="J79" s="2"/>
    </x:row>
    <x:row r="80" ht="21" customHeight="1">
      <x:c r="A80" s="2"/>
      <x:c r="B80" s="2"/>
      <x:c r="C80" s="28" t="str">
        <x:v>Base</x:v>
      </x:c>
      <x:c r="D80" s="27" t="n">
        <x:v>6000</x:v>
      </x:c>
      <x:c r="E80" s="2"/>
      <x:c r="F80" s="2"/>
      <x:c r="G80" s="2"/>
      <x:c r="H80" s="2"/>
      <x:c r="I80" s="2"/>
      <x:c r="J80" s="2"/>
    </x:row>
    <x:row r="81" ht="21" customHeight="1">
      <x:c r="A81" s="2"/>
      <x:c r="B81" s="2"/>
      <x:c r="C81" s="28" t="str">
        <x:v>Downside</x:v>
      </x:c>
      <x:c r="D81" s="27" t="n">
        <x:v>6000</x:v>
      </x:c>
      <x:c r="E81" s="2"/>
      <x:c r="F81" s="2"/>
      <x:c r="G81" s="2"/>
      <x:c r="H81" s="2"/>
      <x:c r="I81" s="2"/>
      <x:c r="J81" s="2"/>
    </x:row>
    <x:row r="82" ht="21" customHeight="1">
      <x:c r="A82" s="2"/>
      <x:c r="B82" s="2"/>
      <x:c r="C82" s="24" t="str">
        <x:v>Monthly cash taxes and distributions</x:v>
      </x:c>
      <x:c r="D82" s="26" t="n">
        <x:f>IF($D$5=1,IF(ISNUMBER(D83),IF(AND(D83&gt;=0,D83&lt;=1000000000000),D83,"n.a."),"n.a."),IF($D$5=2,IF(ISNUMBER(D84),IF(AND(D84&gt;=0,D84&lt;=1000000000000),D84,"n.a."),"n.a."),"n.a."))</x:f>
        <x:v>3000</x:v>
      </x:c>
      <x:c r="E82" s="22" t="str">
        <x:v>USD</x:v>
      </x:c>
      <x:c r="F82" s="2"/>
      <x:c r="G82" s="2"/>
      <x:c r="H82" s="2"/>
      <x:c r="I82" s="2"/>
      <x:c r="J82" s="2"/>
    </x:row>
    <x:row r="83" ht="21" customHeight="1">
      <x:c r="A83" s="2"/>
      <x:c r="B83" s="2"/>
      <x:c r="C83" s="28" t="str">
        <x:v>Base</x:v>
      </x:c>
      <x:c r="D83" s="27" t="n">
        <x:v>3000</x:v>
      </x:c>
      <x:c r="E83" s="2"/>
      <x:c r="F83" s="2"/>
      <x:c r="G83" s="2"/>
      <x:c r="H83" s="2"/>
      <x:c r="I83" s="2"/>
      <x:c r="J83" s="2"/>
    </x:row>
    <x:row r="84" ht="21" customHeight="1">
      <x:c r="A84" s="2"/>
      <x:c r="B84" s="2"/>
      <x:c r="C84" s="28" t="str">
        <x:v>Downside</x:v>
      </x:c>
      <x:c r="D84" s="27" t="n">
        <x:v>3000</x:v>
      </x:c>
      <x:c r="E84" s="2"/>
      <x:c r="F84" s="2"/>
      <x:c r="G84" s="2"/>
      <x:c r="H84" s="2"/>
      <x:c r="I84" s="2"/>
      <x:c r="J84" s="2"/>
    </x:row>
    <x:row r="85" ht="21" customHeight="1">
      <x:c r="A85" s="2"/>
      <x:c r="B85" s="2"/>
      <x:c r="C85" s="24" t="str">
        <x:v>Monthly maintenance capital</x:v>
      </x:c>
      <x:c r="D85" s="26" t="n">
        <x:f>IF($D$5=1,IF(ISNUMBER(D86),IF(AND(D86&gt;=0,D86&lt;=1000000000000),D86,"n.a."),"n.a."),IF($D$5=2,IF(ISNUMBER(D87),IF(AND(D87&gt;=0,D87&lt;=1000000000000),D87,"n.a."),"n.a."),"n.a."))</x:f>
        <x:v>1500</x:v>
      </x:c>
      <x:c r="E85" s="22" t="str">
        <x:v>USD</x:v>
      </x:c>
      <x:c r="F85" s="2"/>
      <x:c r="G85" s="2"/>
      <x:c r="H85" s="2"/>
      <x:c r="I85" s="2"/>
      <x:c r="J85" s="2"/>
    </x:row>
    <x:row r="86" ht="21" customHeight="1">
      <x:c r="A86" s="2"/>
      <x:c r="B86" s="2"/>
      <x:c r="C86" s="28" t="str">
        <x:v>Base</x:v>
      </x:c>
      <x:c r="D86" s="27" t="n">
        <x:v>1500</x:v>
      </x:c>
      <x:c r="E86" s="2"/>
      <x:c r="F86" s="2"/>
      <x:c r="G86" s="2"/>
      <x:c r="H86" s="2"/>
      <x:c r="I86" s="2"/>
      <x:c r="J86" s="2"/>
    </x:row>
    <x:row r="87" ht="21" customHeight="1">
      <x:c r="A87" s="2"/>
      <x:c r="B87" s="2"/>
      <x:c r="C87" s="28" t="str">
        <x:v>Downside</x:v>
      </x:c>
      <x:c r="D87" s="27" t="n">
        <x:v>1800</x:v>
      </x:c>
      <x:c r="E87" s="2"/>
      <x:c r="F87" s="2"/>
      <x:c r="G87" s="2"/>
      <x:c r="H87" s="2"/>
      <x:c r="I87" s="2"/>
      <x:c r="J87" s="2"/>
    </x:row>
    <x:row r="88" ht="21" customHeight="1">
      <x:c r="A88" s="2"/>
      <x:c r="B88" s="2"/>
      <x:c r="C88" s="31" t="str">
        <x:v>Current-month collection fraction</x:v>
      </x:c>
      <x:c r="D88" s="32" t="n">
        <x:f>IF($D$5=1,IF(ISNUMBER(D89),IF(AND(D89&gt;=0,D89&lt;=1),D89,"n.a."),"n.a."),IF($D$5=2,IF(ISNUMBER(D90),IF(AND(D90&gt;=0,D90&lt;=1),D90,"n.a."),"n.a."),"n.a."))</x:f>
        <x:v>0.8</x:v>
      </x:c>
      <x:c r="E88" s="33" t="str">
        <x:v>%</x:v>
      </x:c>
      <x:c r="F88" s="2"/>
      <x:c r="G88" s="2"/>
      <x:c r="H88" s="2"/>
      <x:c r="I88" s="2"/>
      <x:c r="J88" s="2"/>
    </x:row>
    <x:row r="89" ht="21" customHeight="1">
      <x:c r="A89" s="2"/>
      <x:c r="B89" s="2"/>
      <x:c r="C89" s="34" t="str">
        <x:v>Base</x:v>
      </x:c>
      <x:c r="D89" s="35" t="n">
        <x:v>0.8</x:v>
      </x:c>
      <x:c r="E89" s="36"/>
      <x:c r="F89" s="2"/>
      <x:c r="G89" s="2"/>
      <x:c r="H89" s="2"/>
      <x:c r="I89" s="2"/>
      <x:c r="J89" s="2"/>
    </x:row>
    <x:row r="90" ht="21" customHeight="1">
      <x:c r="A90" s="2"/>
      <x:c r="B90" s="2"/>
      <x:c r="C90" s="34" t="str">
        <x:v>Downside</x:v>
      </x:c>
      <x:c r="D90" s="35" t="n">
        <x:v>0.6</x:v>
      </x:c>
      <x:c r="E90" s="36"/>
      <x:c r="F90" s="2"/>
      <x:c r="G90" s="2"/>
      <x:c r="H90" s="2"/>
      <x:c r="I90" s="2"/>
      <x:c r="J90" s="2"/>
    </x:row>
    <x:row r="91" ht="21" customHeight="1">
      <x:c r="A91" s="2"/>
      <x:c r="B91" s="2"/>
      <x:c r="C91" s="24" t="str">
        <x:v>Opening collectible AR due in month 1</x:v>
      </x:c>
      <x:c r="D91" s="26" t="n">
        <x:f>IF($D$5=1,IF(ISNUMBER(D92),IF(AND(D92&gt;=0,D92&lt;=1000000000000),D92,"n.a."),"n.a."),IF($D$5=2,IF(ISNUMBER(D93),IF(AND(D93&gt;=0,D93&lt;=1000000000000),D93,"n.a."),"n.a."),"n.a."))</x:f>
        <x:v>45000</x:v>
      </x:c>
      <x:c r="E91" s="22" t="str">
        <x:v>USD</x:v>
      </x:c>
      <x:c r="F91" s="2"/>
      <x:c r="G91" s="2"/>
      <x:c r="H91" s="2"/>
      <x:c r="I91" s="2"/>
      <x:c r="J91" s="2"/>
    </x:row>
    <x:row r="92" ht="21" customHeight="1">
      <x:c r="A92" s="2"/>
      <x:c r="B92" s="2"/>
      <x:c r="C92" s="28" t="str">
        <x:v>Base</x:v>
      </x:c>
      <x:c r="D92" s="27" t="n">
        <x:v>45000</x:v>
      </x:c>
      <x:c r="E92" s="2"/>
      <x:c r="F92" s="2"/>
      <x:c r="G92" s="2"/>
      <x:c r="H92" s="2"/>
      <x:c r="I92" s="2"/>
      <x:c r="J92" s="2"/>
    </x:row>
    <x:row r="93" ht="21" customHeight="1">
      <x:c r="A93" s="2"/>
      <x:c r="B93" s="2"/>
      <x:c r="C93" s="28" t="str">
        <x:v>Downside</x:v>
      </x:c>
      <x:c r="D93" s="27" t="n">
        <x:v>45000</x:v>
      </x:c>
      <x:c r="E93" s="2"/>
      <x:c r="F93" s="2"/>
      <x:c r="G93" s="2"/>
      <x:c r="H93" s="2"/>
      <x:c r="I93" s="2"/>
      <x:c r="J93" s="2"/>
    </x:row>
    <x:row r="94" ht="21" customHeight="1">
      <x:c r="A94" s="2"/>
      <x:c r="B94" s="2"/>
      <x:c r="C94" s="31" t="str">
        <x:v>Billing collection realization</x:v>
      </x:c>
      <x:c r="D94" s="32" t="n">
        <x:f>IF($D$5=1,IF(ISNUMBER(D95),IF(AND(D95&gt;=0,D95&lt;=1),D95,"n.a."),"n.a."),IF($D$5=2,IF(ISNUMBER(D96),IF(AND(D96&gt;=0,D96&lt;=1),D96,"n.a."),"n.a."),"n.a."))</x:f>
        <x:v>0.98</x:v>
      </x:c>
      <x:c r="E94" s="33" t="str">
        <x:v>%</x:v>
      </x:c>
      <x:c r="F94" s="2"/>
      <x:c r="G94" s="2"/>
      <x:c r="H94" s="2"/>
      <x:c r="I94" s="2"/>
      <x:c r="J94" s="2"/>
    </x:row>
    <x:row r="95" ht="21" customHeight="1">
      <x:c r="A95" s="2"/>
      <x:c r="B95" s="2"/>
      <x:c r="C95" s="34" t="str">
        <x:v>Base</x:v>
      </x:c>
      <x:c r="D95" s="35" t="n">
        <x:v>0.98</x:v>
      </x:c>
      <x:c r="E95" s="36"/>
      <x:c r="F95" s="2"/>
      <x:c r="G95" s="2"/>
      <x:c r="H95" s="2"/>
      <x:c r="I95" s="2"/>
      <x:c r="J95" s="2"/>
    </x:row>
    <x:row r="96" ht="21" customHeight="1">
      <x:c r="A96" s="2"/>
      <x:c r="B96" s="2"/>
      <x:c r="C96" s="34" t="str">
        <x:v>Downside</x:v>
      </x:c>
      <x:c r="D96" s="35" t="n">
        <x:v>0.94</x:v>
      </x:c>
      <x:c r="E96" s="36"/>
      <x:c r="F96" s="2"/>
      <x:c r="G96" s="2"/>
      <x:c r="H96" s="2"/>
      <x:c r="I96" s="2"/>
      <x:c r="J96" s="2"/>
    </x:row>
    <x:row r="97" ht="21" customHeight="1">
      <x:c r="A97" s="2"/>
      <x:c r="B97" s="2"/>
      <x:c r="C97" s="2"/>
      <x:c r="D97" s="2"/>
      <x:c r="E97" s="2"/>
      <x:c r="F97" s="2"/>
      <x:c r="G97" s="2"/>
      <x:c r="H97" s="2"/>
      <x:c r="I97" s="2"/>
      <x:c r="J97" s="2"/>
    </x:row>
    <x:row r="98" ht="21" customHeight="1">
      <x:c r="A98" s="2"/>
      <x:c r="B98" s="2"/>
      <x:c r="C98" s="2"/>
      <x:c r="D98" s="2"/>
      <x:c r="E98" s="2"/>
      <x:c r="F98" s="2"/>
      <x:c r="G98" s="2"/>
      <x:c r="H98" s="2"/>
      <x:c r="I98" s="2"/>
      <x:c r="J98" s="2"/>
    </x:row>
    <x:row r="99" ht="21" customHeight="1">
      <x:c r="A99" s="2"/>
      <x:c r="B99" s="2"/>
      <x:c r="C99" s="2"/>
      <x:c r="D99" s="2"/>
      <x:c r="E99" s="2"/>
      <x:c r="F99" s="2"/>
      <x:c r="G99" s="2"/>
      <x:c r="H99" s="2"/>
      <x:c r="I99" s="2"/>
      <x:c r="J99" s="2"/>
    </x:row>
    <x:row r="100" ht="21" customHeight="1">
      <x:c r="A100" s="2"/>
      <x:c r="B100" s="2"/>
      <x:c r="C100" s="2"/>
      <x:c r="D100" s="2"/>
      <x:c r="E100" s="2"/>
      <x:c r="F100" s="2"/>
      <x:c r="G100" s="2"/>
      <x:c r="H100" s="2"/>
      <x:c r="I100" s="2"/>
      <x:c r="J100" s="2"/>
    </x:row>
    <x:row r="101" ht="21" customHeight="1">
      <x:c r="A101" s="2"/>
      <x:c r="B101" s="2"/>
      <x:c r="C101" s="2"/>
      <x:c r="D101" s="2"/>
      <x:c r="E101" s="2"/>
      <x:c r="F101" s="2"/>
      <x:c r="G101" s="2"/>
      <x:c r="H101" s="2"/>
      <x:c r="I101" s="2"/>
      <x:c r="J101" s="2"/>
    </x:row>
    <x:row r="102" ht="21" customHeight="1">
      <x:c r="A102" s="2"/>
      <x:c r="B102" s="2"/>
      <x:c r="C102" s="2"/>
      <x:c r="D102" s="2"/>
      <x:c r="E102" s="2"/>
      <x:c r="F102" s="2"/>
      <x:c r="G102" s="2"/>
      <x:c r="H102" s="2"/>
      <x:c r="I102" s="2"/>
      <x:c r="J102" s="2"/>
    </x:row>
  </x:sheetData>
  <x:dataValidations count="60">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 type="decimal" operator="between" sqref="D74">
      <x:formula1>0</x:formula1>
      <x:formula2>1000000000000</x:formula2>
    </x:dataValidation>
    <x:dataValidation type="decimal" operator="between" sqref="D75">
      <x:formula1>0</x:formula1>
      <x:formula2>1000000000000</x:formula2>
    </x:dataValidation>
    <x:dataValidation type="decimal" operator="between" sqref="D77">
      <x:formula1>0</x:formula1>
      <x:formula2>1000000000000</x:formula2>
    </x:dataValidation>
    <x:dataValidation type="decimal" operator="between" sqref="D78">
      <x:formula1>0</x:formula1>
      <x:formula2>1000000000000</x:formula2>
    </x:dataValidation>
    <x:dataValidation type="decimal" operator="between" sqref="D80">
      <x:formula1>0</x:formula1>
      <x:formula2>1000000000000</x:formula2>
    </x:dataValidation>
    <x:dataValidation type="decimal" operator="between" sqref="D81">
      <x:formula1>0</x:formula1>
      <x:formula2>1000000000000</x:formula2>
    </x:dataValidation>
    <x:dataValidation type="decimal" operator="between" sqref="D83">
      <x:formula1>0</x:formula1>
      <x:formula2>1000000000000</x:formula2>
    </x:dataValidation>
    <x:dataValidation type="decimal" operator="between" sqref="D84">
      <x:formula1>0</x:formula1>
      <x:formula2>1000000000000</x:formula2>
    </x:dataValidation>
    <x:dataValidation type="decimal" operator="between" sqref="D86">
      <x:formula1>0</x:formula1>
      <x:formula2>1000000000000</x:formula2>
    </x:dataValidation>
    <x:dataValidation type="decimal" operator="between" sqref="D87">
      <x:formula1>0</x:formula1>
      <x:formula2>1000000000000</x:formula2>
    </x:dataValidation>
    <x:dataValidation type="decimal" operator="between" sqref="D89">
      <x:formula1>0</x:formula1>
      <x:formula2>1</x:formula2>
    </x:dataValidation>
    <x:dataValidation type="decimal" operator="between" sqref="D90">
      <x:formula1>0</x:formula1>
      <x:formula2>1</x:formula2>
    </x:dataValidation>
    <x:dataValidation type="decimal" operator="between" sqref="D92">
      <x:formula1>0</x:formula1>
      <x:formula2>1000000000000</x:formula2>
    </x:dataValidation>
    <x:dataValidation type="decimal" operator="between" sqref="D93">
      <x:formula1>0</x:formula1>
      <x:formula2>1000000000000</x:formula2>
    </x:dataValidation>
    <x:dataValidation type="decimal" operator="between" sqref="D95">
      <x:formula1>0</x:formula1>
      <x:formula2>1</x:formula2>
    </x:dataValidation>
    <x:dataValidation type="decimal" operator="between" sqref="D96">
      <x:formula1>0</x:formula1>
      <x:formula2>1</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Service Bays</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Operating bays</x:v>
      </x:c>
      <x:c r="E9" s="21" t="str">
        <x:v>Hours / bay / month</x:v>
      </x:c>
      <x:c r="F9" s="21" t="str">
        <x:v>Saleable-hour fraction</x:v>
      </x:c>
      <x:c r="G9" s="21" t="str">
        <x:v>Requested service labor hours</x:v>
      </x:c>
      <x:c r="H9" s="21" t="str">
        <x:v>Labor revenue / sold hour</x:v>
      </x:c>
      <x:c r="I9" s="21" t="str">
        <x:v>Parts sales / sold hour</x:v>
      </x:c>
      <x:c r="J9" s="21" t="str">
        <x:v>Parts COGS / parts sales</x:v>
      </x:c>
      <x:c r="K9" s="21" t="str">
        <x:v>Technician payroll cash</x:v>
      </x:c>
      <x:c r="L9" s="21" t="str">
        <x:v>Other service-business costs</x:v>
      </x:c>
      <x:c r="M9" s="21" t="str">
        <x:v>Expansion capital</x:v>
      </x:c>
      <x:c r="N9" s="21" t="str">
        <x:v>Input status</x:v>
      </x:c>
      <x:c r="O9" s="2"/>
      <x:c r="P9" s="2"/>
    </x:row>
    <x:row r="10" ht="21" customHeight="1">
      <x:c r="A10" s="2"/>
      <x:c r="B10" s="2"/>
      <x:c r="C10" s="43" t="n">
        <x:f>IF(ISNUMBER('Assumptions'!D7),IF(AND('Assumptions'!D7=INT('Assumptions'!D7),'Assumptions'!D7&gt;=2000,'Assumptions'!D7&lt;=2100),DATE('Assumptions'!D7,1,1),"n.a."),"n.a.")</x:f>
        <x:v>46388</x:v>
      </x:c>
      <x:c r="D10" s="16" t="n">
        <x:v>6</x:v>
      </x:c>
      <x:c r="E10" s="16" t="n">
        <x:v>176</x:v>
      </x:c>
      <x:c r="F10" s="30" t="n">
        <x:v>0.75</x:v>
      </x:c>
      <x:c r="G10" s="16" t="n">
        <x:v>1000</x:v>
      </x:c>
      <x:c r="H10" s="27" t="n">
        <x:v>135</x:v>
      </x:c>
      <x:c r="I10" s="27" t="n">
        <x:v>105</x:v>
      </x:c>
      <x:c r="J10" s="30" t="n">
        <x:v>0.6</x:v>
      </x:c>
      <x:c r="K10" s="27" t="n">
        <x:v>47000</x:v>
      </x:c>
      <x:c r="L10" s="27" t="n">
        <x:v>15000</x:v>
      </x:c>
      <x:c r="M10" s="27" t="n">
        <x:v>0</x:v>
      </x:c>
      <x:c r="N10" s="13" t="str">
        <x:f>IF(AND(IF(ISNUMBER(D10),AND(D10&gt;=0,D10&lt;=1000000000000),FALSE),IF(ISNUMBER(E10),AND(E10&gt;=0,E10&lt;=1000000000000),FALSE),IF(ISNUMBER(F10),AND(F10&gt;=0,F10&lt;=1),FALSE),IF(ISNUMBER(G10),AND(G10&gt;=0,G10&lt;=1000000000000),FALSE),IF(ISNUMBER(H10),AND(H10&gt;=0,H10&lt;=1000000000000),FALSE),IF(ISNUMBER(I10),AND(I10&gt;=0,I10&lt;=1000000000000),FALSE),IF(ISNUMBER(J10),AND(J10&gt;=0,J10&lt;=1),FALSE),IF(ISNUMBER(K10),AND(K10&gt;=0,K10&lt;=1000000000000),FALSE),IF(ISNUMBER(L10),AND(L10&gt;=0,L10&lt;=1000000000000),FALSE),IF(ISNUMBER(M10),AND(M10&gt;=0,M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16" t="n">
        <x:v>6</x:v>
      </x:c>
      <x:c r="E11" s="16" t="n">
        <x:v>176</x:v>
      </x:c>
      <x:c r="F11" s="30" t="n">
        <x:v>0.75</x:v>
      </x:c>
      <x:c r="G11" s="16" t="n">
        <x:v>1000</x:v>
      </x:c>
      <x:c r="H11" s="27" t="n">
        <x:v>135</x:v>
      </x:c>
      <x:c r="I11" s="27" t="n">
        <x:v>105</x:v>
      </x:c>
      <x:c r="J11" s="30" t="n">
        <x:v>0.6</x:v>
      </x:c>
      <x:c r="K11" s="27" t="n">
        <x:v>47000</x:v>
      </x:c>
      <x:c r="L11" s="27" t="n">
        <x:v>15000</x:v>
      </x:c>
      <x:c r="M11" s="27" t="n">
        <x:v>0</x:v>
      </x:c>
      <x:c r="N11" s="13" t="str">
        <x:f>IF(AND(IF(ISNUMBER(D11),AND(D11&gt;=0,D11&lt;=1000000000000),FALSE),IF(ISNUMBER(E11),AND(E11&gt;=0,E11&lt;=1000000000000),FALSE),IF(ISNUMBER(F11),AND(F11&gt;=0,F11&lt;=1),FALSE),IF(ISNUMBER(G11),AND(G11&gt;=0,G11&lt;=1000000000000),FALSE),IF(ISNUMBER(H11),AND(H11&gt;=0,H11&lt;=1000000000000),FALSE),IF(ISNUMBER(I11),AND(I11&gt;=0,I11&lt;=1000000000000),FALSE),IF(ISNUMBER(J11),AND(J11&gt;=0,J11&lt;=1),FALSE),IF(ISNUMBER(K11),AND(K11&gt;=0,K11&lt;=1000000000000),FALSE),IF(ISNUMBER(L11),AND(L11&gt;=0,L11&lt;=1000000000000),FALSE),IF(ISNUMBER(M11),AND(M11&gt;=0,M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16" t="n">
        <x:v>6</x:v>
      </x:c>
      <x:c r="E12" s="16" t="n">
        <x:v>176</x:v>
      </x:c>
      <x:c r="F12" s="30" t="n">
        <x:v>0.75</x:v>
      </x:c>
      <x:c r="G12" s="16" t="n">
        <x:v>1000</x:v>
      </x:c>
      <x:c r="H12" s="27" t="n">
        <x:v>135</x:v>
      </x:c>
      <x:c r="I12" s="27" t="n">
        <x:v>105</x:v>
      </x:c>
      <x:c r="J12" s="30" t="n">
        <x:v>0.6</x:v>
      </x:c>
      <x:c r="K12" s="27" t="n">
        <x:v>47000</x:v>
      </x:c>
      <x:c r="L12" s="27" t="n">
        <x:v>15000</x:v>
      </x:c>
      <x:c r="M12" s="27" t="n">
        <x:v>0</x:v>
      </x:c>
      <x:c r="N12" s="13" t="str">
        <x:f>IF(AND(IF(ISNUMBER(D12),AND(D12&gt;=0,D12&lt;=1000000000000),FALSE),IF(ISNUMBER(E12),AND(E12&gt;=0,E12&lt;=1000000000000),FALSE),IF(ISNUMBER(F12),AND(F12&gt;=0,F12&lt;=1),FALSE),IF(ISNUMBER(G12),AND(G12&gt;=0,G12&lt;=1000000000000),FALSE),IF(ISNUMBER(H12),AND(H12&gt;=0,H12&lt;=1000000000000),FALSE),IF(ISNUMBER(I12),AND(I12&gt;=0,I12&lt;=1000000000000),FALSE),IF(ISNUMBER(J12),AND(J12&gt;=0,J12&lt;=1),FALSE),IF(ISNUMBER(K12),AND(K12&gt;=0,K12&lt;=1000000000000),FALSE),IF(ISNUMBER(L12),AND(L12&gt;=0,L12&lt;=1000000000000),FALSE),IF(ISNUMBER(M12),AND(M12&gt;=0,M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16" t="n">
        <x:v>6</x:v>
      </x:c>
      <x:c r="E13" s="16" t="n">
        <x:v>176</x:v>
      </x:c>
      <x:c r="F13" s="30" t="n">
        <x:v>0.75</x:v>
      </x:c>
      <x:c r="G13" s="16" t="n">
        <x:v>1000</x:v>
      </x:c>
      <x:c r="H13" s="27" t="n">
        <x:v>135</x:v>
      </x:c>
      <x:c r="I13" s="27" t="n">
        <x:v>105</x:v>
      </x:c>
      <x:c r="J13" s="30" t="n">
        <x:v>0.6</x:v>
      </x:c>
      <x:c r="K13" s="27" t="n">
        <x:v>47000</x:v>
      </x:c>
      <x:c r="L13" s="27" t="n">
        <x:v>15000</x:v>
      </x:c>
      <x:c r="M13" s="27" t="n">
        <x:v>0</x:v>
      </x:c>
      <x:c r="N13" s="13" t="str">
        <x:f>IF(AND(IF(ISNUMBER(D13),AND(D13&gt;=0,D13&lt;=1000000000000),FALSE),IF(ISNUMBER(E13),AND(E13&gt;=0,E13&lt;=1000000000000),FALSE),IF(ISNUMBER(F13),AND(F13&gt;=0,F13&lt;=1),FALSE),IF(ISNUMBER(G13),AND(G13&gt;=0,G13&lt;=1000000000000),FALSE),IF(ISNUMBER(H13),AND(H13&gt;=0,H13&lt;=1000000000000),FALSE),IF(ISNUMBER(I13),AND(I13&gt;=0,I13&lt;=1000000000000),FALSE),IF(ISNUMBER(J13),AND(J13&gt;=0,J13&lt;=1),FALSE),IF(ISNUMBER(K13),AND(K13&gt;=0,K13&lt;=1000000000000),FALSE),IF(ISNUMBER(L13),AND(L13&gt;=0,L13&lt;=1000000000000),FALSE),IF(ISNUMBER(M13),AND(M13&gt;=0,M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16" t="n">
        <x:v>6</x:v>
      </x:c>
      <x:c r="E14" s="16" t="n">
        <x:v>176</x:v>
      </x:c>
      <x:c r="F14" s="30" t="n">
        <x:v>0.75</x:v>
      </x:c>
      <x:c r="G14" s="16" t="n">
        <x:v>1000</x:v>
      </x:c>
      <x:c r="H14" s="27" t="n">
        <x:v>135</x:v>
      </x:c>
      <x:c r="I14" s="27" t="n">
        <x:v>105</x:v>
      </x:c>
      <x:c r="J14" s="30" t="n">
        <x:v>0.6</x:v>
      </x:c>
      <x:c r="K14" s="27" t="n">
        <x:v>47000</x:v>
      </x:c>
      <x:c r="L14" s="27" t="n">
        <x:v>15000</x:v>
      </x:c>
      <x:c r="M14" s="27" t="n">
        <x:v>0</x:v>
      </x:c>
      <x:c r="N14" s="13" t="str">
        <x:f>IF(AND(IF(ISNUMBER(D14),AND(D14&gt;=0,D14&lt;=1000000000000),FALSE),IF(ISNUMBER(E14),AND(E14&gt;=0,E14&lt;=1000000000000),FALSE),IF(ISNUMBER(F14),AND(F14&gt;=0,F14&lt;=1),FALSE),IF(ISNUMBER(G14),AND(G14&gt;=0,G14&lt;=1000000000000),FALSE),IF(ISNUMBER(H14),AND(H14&gt;=0,H14&lt;=1000000000000),FALSE),IF(ISNUMBER(I14),AND(I14&gt;=0,I14&lt;=1000000000000),FALSE),IF(ISNUMBER(J14),AND(J14&gt;=0,J14&lt;=1),FALSE),IF(ISNUMBER(K14),AND(K14&gt;=0,K14&lt;=1000000000000),FALSE),IF(ISNUMBER(L14),AND(L14&gt;=0,L14&lt;=1000000000000),FALSE),IF(ISNUMBER(M14),AND(M14&gt;=0,M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16" t="n">
        <x:v>6</x:v>
      </x:c>
      <x:c r="E15" s="16" t="n">
        <x:v>176</x:v>
      </x:c>
      <x:c r="F15" s="30" t="n">
        <x:v>0.75</x:v>
      </x:c>
      <x:c r="G15" s="16" t="n">
        <x:v>1000</x:v>
      </x:c>
      <x:c r="H15" s="27" t="n">
        <x:v>135</x:v>
      </x:c>
      <x:c r="I15" s="27" t="n">
        <x:v>105</x:v>
      </x:c>
      <x:c r="J15" s="30" t="n">
        <x:v>0.6</x:v>
      </x:c>
      <x:c r="K15" s="27" t="n">
        <x:v>47000</x:v>
      </x:c>
      <x:c r="L15" s="27" t="n">
        <x:v>15000</x:v>
      </x:c>
      <x:c r="M15" s="27" t="n">
        <x:v>0</x:v>
      </x:c>
      <x:c r="N15" s="13" t="str">
        <x:f>IF(AND(IF(ISNUMBER(D15),AND(D15&gt;=0,D15&lt;=1000000000000),FALSE),IF(ISNUMBER(E15),AND(E15&gt;=0,E15&lt;=1000000000000),FALSE),IF(ISNUMBER(F15),AND(F15&gt;=0,F15&lt;=1),FALSE),IF(ISNUMBER(G15),AND(G15&gt;=0,G15&lt;=1000000000000),FALSE),IF(ISNUMBER(H15),AND(H15&gt;=0,H15&lt;=1000000000000),FALSE),IF(ISNUMBER(I15),AND(I15&gt;=0,I15&lt;=1000000000000),FALSE),IF(ISNUMBER(J15),AND(J15&gt;=0,J15&lt;=1),FALSE),IF(ISNUMBER(K15),AND(K15&gt;=0,K15&lt;=1000000000000),FALSE),IF(ISNUMBER(L15),AND(L15&gt;=0,L15&lt;=1000000000000),FALSE),IF(ISNUMBER(M15),AND(M15&gt;=0,M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16" t="n">
        <x:v>6</x:v>
      </x:c>
      <x:c r="E16" s="16" t="n">
        <x:v>176</x:v>
      </x:c>
      <x:c r="F16" s="30" t="n">
        <x:v>0.75</x:v>
      </x:c>
      <x:c r="G16" s="16" t="n">
        <x:v>1000</x:v>
      </x:c>
      <x:c r="H16" s="27" t="n">
        <x:v>135</x:v>
      </x:c>
      <x:c r="I16" s="27" t="n">
        <x:v>105</x:v>
      </x:c>
      <x:c r="J16" s="30" t="n">
        <x:v>0.6</x:v>
      </x:c>
      <x:c r="K16" s="27" t="n">
        <x:v>47000</x:v>
      </x:c>
      <x:c r="L16" s="27" t="n">
        <x:v>15000</x:v>
      </x:c>
      <x:c r="M16" s="27" t="n">
        <x:v>0</x:v>
      </x:c>
      <x:c r="N16" s="13" t="str">
        <x:f>IF(AND(IF(ISNUMBER(D16),AND(D16&gt;=0,D16&lt;=1000000000000),FALSE),IF(ISNUMBER(E16),AND(E16&gt;=0,E16&lt;=1000000000000),FALSE),IF(ISNUMBER(F16),AND(F16&gt;=0,F16&lt;=1),FALSE),IF(ISNUMBER(G16),AND(G16&gt;=0,G16&lt;=1000000000000),FALSE),IF(ISNUMBER(H16),AND(H16&gt;=0,H16&lt;=1000000000000),FALSE),IF(ISNUMBER(I16),AND(I16&gt;=0,I16&lt;=1000000000000),FALSE),IF(ISNUMBER(J16),AND(J16&gt;=0,J16&lt;=1),FALSE),IF(ISNUMBER(K16),AND(K16&gt;=0,K16&lt;=1000000000000),FALSE),IF(ISNUMBER(L16),AND(L16&gt;=0,L16&lt;=1000000000000),FALSE),IF(ISNUMBER(M16),AND(M16&gt;=0,M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16" t="n">
        <x:v>6</x:v>
      </x:c>
      <x:c r="E17" s="16" t="n">
        <x:v>176</x:v>
      </x:c>
      <x:c r="F17" s="30" t="n">
        <x:v>0.75</x:v>
      </x:c>
      <x:c r="G17" s="16" t="n">
        <x:v>1000</x:v>
      </x:c>
      <x:c r="H17" s="27" t="n">
        <x:v>135</x:v>
      </x:c>
      <x:c r="I17" s="27" t="n">
        <x:v>105</x:v>
      </x:c>
      <x:c r="J17" s="30" t="n">
        <x:v>0.6</x:v>
      </x:c>
      <x:c r="K17" s="27" t="n">
        <x:v>47000</x:v>
      </x:c>
      <x:c r="L17" s="27" t="n">
        <x:v>15000</x:v>
      </x:c>
      <x:c r="M17" s="27" t="n">
        <x:v>0</x:v>
      </x:c>
      <x:c r="N17" s="13" t="str">
        <x:f>IF(AND(IF(ISNUMBER(D17),AND(D17&gt;=0,D17&lt;=1000000000000),FALSE),IF(ISNUMBER(E17),AND(E17&gt;=0,E17&lt;=1000000000000),FALSE),IF(ISNUMBER(F17),AND(F17&gt;=0,F17&lt;=1),FALSE),IF(ISNUMBER(G17),AND(G17&gt;=0,G17&lt;=1000000000000),FALSE),IF(ISNUMBER(H17),AND(H17&gt;=0,H17&lt;=1000000000000),FALSE),IF(ISNUMBER(I17),AND(I17&gt;=0,I17&lt;=1000000000000),FALSE),IF(ISNUMBER(J17),AND(J17&gt;=0,J17&lt;=1),FALSE),IF(ISNUMBER(K17),AND(K17&gt;=0,K17&lt;=1000000000000),FALSE),IF(ISNUMBER(L17),AND(L17&gt;=0,L17&lt;=1000000000000),FALSE),IF(ISNUMBER(M17),AND(M17&gt;=0,M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16" t="n">
        <x:v>6</x:v>
      </x:c>
      <x:c r="E18" s="16" t="n">
        <x:v>176</x:v>
      </x:c>
      <x:c r="F18" s="30" t="n">
        <x:v>0.75</x:v>
      </x:c>
      <x:c r="G18" s="16" t="n">
        <x:v>1000</x:v>
      </x:c>
      <x:c r="H18" s="27" t="n">
        <x:v>135</x:v>
      </x:c>
      <x:c r="I18" s="27" t="n">
        <x:v>105</x:v>
      </x:c>
      <x:c r="J18" s="30" t="n">
        <x:v>0.6</x:v>
      </x:c>
      <x:c r="K18" s="27" t="n">
        <x:v>47000</x:v>
      </x:c>
      <x:c r="L18" s="27" t="n">
        <x:v>15000</x:v>
      </x:c>
      <x:c r="M18" s="27" t="n">
        <x:v>95000</x:v>
      </x:c>
      <x:c r="N18" s="13" t="str">
        <x:f>IF(AND(IF(ISNUMBER(D18),AND(D18&gt;=0,D18&lt;=1000000000000),FALSE),IF(ISNUMBER(E18),AND(E18&gt;=0,E18&lt;=1000000000000),FALSE),IF(ISNUMBER(F18),AND(F18&gt;=0,F18&lt;=1),FALSE),IF(ISNUMBER(G18),AND(G18&gt;=0,G18&lt;=1000000000000),FALSE),IF(ISNUMBER(H18),AND(H18&gt;=0,H18&lt;=1000000000000),FALSE),IF(ISNUMBER(I18),AND(I18&gt;=0,I18&lt;=1000000000000),FALSE),IF(ISNUMBER(J18),AND(J18&gt;=0,J18&lt;=1),FALSE),IF(ISNUMBER(K18),AND(K18&gt;=0,K18&lt;=1000000000000),FALSE),IF(ISNUMBER(L18),AND(L18&gt;=0,L18&lt;=1000000000000),FALSE),IF(ISNUMBER(M18),AND(M18&gt;=0,M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16" t="n">
        <x:v>6</x:v>
      </x:c>
      <x:c r="E19" s="16" t="n">
        <x:v>176</x:v>
      </x:c>
      <x:c r="F19" s="30" t="n">
        <x:v>0.75</x:v>
      </x:c>
      <x:c r="G19" s="16" t="n">
        <x:v>1000</x:v>
      </x:c>
      <x:c r="H19" s="27" t="n">
        <x:v>135</x:v>
      </x:c>
      <x:c r="I19" s="27" t="n">
        <x:v>105</x:v>
      </x:c>
      <x:c r="J19" s="30" t="n">
        <x:v>0.6</x:v>
      </x:c>
      <x:c r="K19" s="27" t="n">
        <x:v>47000</x:v>
      </x:c>
      <x:c r="L19" s="27" t="n">
        <x:v>15000</x:v>
      </x:c>
      <x:c r="M19" s="27" t="n">
        <x:v>0</x:v>
      </x:c>
      <x:c r="N19" s="13" t="str">
        <x:f>IF(AND(IF(ISNUMBER(D19),AND(D19&gt;=0,D19&lt;=1000000000000),FALSE),IF(ISNUMBER(E19),AND(E19&gt;=0,E19&lt;=1000000000000),FALSE),IF(ISNUMBER(F19),AND(F19&gt;=0,F19&lt;=1),FALSE),IF(ISNUMBER(G19),AND(G19&gt;=0,G19&lt;=1000000000000),FALSE),IF(ISNUMBER(H19),AND(H19&gt;=0,H19&lt;=1000000000000),FALSE),IF(ISNUMBER(I19),AND(I19&gt;=0,I19&lt;=1000000000000),FALSE),IF(ISNUMBER(J19),AND(J19&gt;=0,J19&lt;=1),FALSE),IF(ISNUMBER(K19),AND(K19&gt;=0,K19&lt;=1000000000000),FALSE),IF(ISNUMBER(L19),AND(L19&gt;=0,L19&lt;=1000000000000),FALSE),IF(ISNUMBER(M19),AND(M19&gt;=0,M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16" t="n">
        <x:v>6</x:v>
      </x:c>
      <x:c r="E20" s="16" t="n">
        <x:v>176</x:v>
      </x:c>
      <x:c r="F20" s="30" t="n">
        <x:v>0.75</x:v>
      </x:c>
      <x:c r="G20" s="16" t="n">
        <x:v>1000</x:v>
      </x:c>
      <x:c r="H20" s="27" t="n">
        <x:v>135</x:v>
      </x:c>
      <x:c r="I20" s="27" t="n">
        <x:v>105</x:v>
      </x:c>
      <x:c r="J20" s="30" t="n">
        <x:v>0.6</x:v>
      </x:c>
      <x:c r="K20" s="27" t="n">
        <x:v>47000</x:v>
      </x:c>
      <x:c r="L20" s="27" t="n">
        <x:v>15000</x:v>
      </x:c>
      <x:c r="M20" s="27" t="n">
        <x:v>0</x:v>
      </x:c>
      <x:c r="N20" s="13" t="str">
        <x:f>IF(AND(IF(ISNUMBER(D20),AND(D20&gt;=0,D20&lt;=1000000000000),FALSE),IF(ISNUMBER(E20),AND(E20&gt;=0,E20&lt;=1000000000000),FALSE),IF(ISNUMBER(F20),AND(F20&gt;=0,F20&lt;=1),FALSE),IF(ISNUMBER(G20),AND(G20&gt;=0,G20&lt;=1000000000000),FALSE),IF(ISNUMBER(H20),AND(H20&gt;=0,H20&lt;=1000000000000),FALSE),IF(ISNUMBER(I20),AND(I20&gt;=0,I20&lt;=1000000000000),FALSE),IF(ISNUMBER(J20),AND(J20&gt;=0,J20&lt;=1),FALSE),IF(ISNUMBER(K20),AND(K20&gt;=0,K20&lt;=1000000000000),FALSE),IF(ISNUMBER(L20),AND(L20&gt;=0,L20&lt;=1000000000000),FALSE),IF(ISNUMBER(M20),AND(M20&gt;=0,M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16" t="n">
        <x:v>6</x:v>
      </x:c>
      <x:c r="E21" s="16" t="n">
        <x:v>176</x:v>
      </x:c>
      <x:c r="F21" s="30" t="n">
        <x:v>0.75</x:v>
      </x:c>
      <x:c r="G21" s="16" t="n">
        <x:v>1000</x:v>
      </x:c>
      <x:c r="H21" s="27" t="n">
        <x:v>135</x:v>
      </x:c>
      <x:c r="I21" s="27" t="n">
        <x:v>105</x:v>
      </x:c>
      <x:c r="J21" s="30" t="n">
        <x:v>0.6</x:v>
      </x:c>
      <x:c r="K21" s="27" t="n">
        <x:v>47000</x:v>
      </x:c>
      <x:c r="L21" s="27" t="n">
        <x:v>15000</x:v>
      </x:c>
      <x:c r="M21" s="27" t="n">
        <x:v>0</x:v>
      </x:c>
      <x:c r="N21" s="13" t="str">
        <x:f>IF(AND(IF(ISNUMBER(D21),AND(D21&gt;=0,D21&lt;=1000000000000),FALSE),IF(ISNUMBER(E21),AND(E21&gt;=0,E21&lt;=1000000000000),FALSE),IF(ISNUMBER(F21),AND(F21&gt;=0,F21&lt;=1),FALSE),IF(ISNUMBER(G21),AND(G21&gt;=0,G21&lt;=1000000000000),FALSE),IF(ISNUMBER(H21),AND(H21&gt;=0,H21&lt;=1000000000000),FALSE),IF(ISNUMBER(I21),AND(I21&gt;=0,I21&lt;=1000000000000),FALSE),IF(ISNUMBER(J21),AND(J21&gt;=0,J21&lt;=1),FALSE),IF(ISNUMBER(K21),AND(K21&gt;=0,K21&lt;=1000000000000),FALSE),IF(ISNUMBER(L21),AND(L21&gt;=0,L21&lt;=1000000000000),FALSE),IF(ISNUMBER(M21),AND(M21&gt;=0,M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20">
    <x:dataValidation type="decimal" operator="between" sqref="D10">
      <x:formula1>0</x:formula1>
      <x:formula2>1000000000000</x:formula2>
    </x:dataValidation>
    <x:dataValidation type="decimal" operator="between" sqref="E10">
      <x:formula1>0</x:formula1>
      <x:formula2>1000000000000</x:formula2>
    </x:dataValidation>
    <x:dataValidation type="decimal" operator="between" sqref="F10">
      <x:formula1>0</x:formula1>
      <x:formula2>1</x:formula2>
    </x:dataValidation>
    <x:dataValidation type="decimal" operator="between" sqref="G10">
      <x:formula1>0</x:formula1>
      <x:formula2>1000000000000</x:formula2>
    </x:dataValidation>
    <x:dataValidation type="decimal" operator="between" sqref="H10">
      <x:formula1>0</x:formula1>
      <x:formula2>1000000000000</x:formula2>
    </x:dataValidation>
    <x:dataValidation type="decimal" operator="between" sqref="I10">
      <x:formula1>0</x:formula1>
      <x:formula2>1000000000000</x:formula2>
    </x:dataValidation>
    <x:dataValidation type="decimal" operator="between" sqref="J10">
      <x:formula1>0</x:formula1>
      <x:formula2>1</x:formula2>
    </x:dataValidation>
    <x:dataValidation type="decimal" operator="between" sqref="K10">
      <x:formula1>0</x:formula1>
      <x:formula2>1000000000000</x:formula2>
    </x:dataValidation>
    <x:dataValidation type="decimal" operator="between" sqref="L10">
      <x:formula1>0</x:formula1>
      <x:formula2>1000000000000</x:formula2>
    </x:dataValidation>
    <x:dataValidation type="decimal" operator="between" sqref="M10">
      <x:formula1>0</x:formula1>
      <x:formula2>1000000000000</x:formula2>
    </x:dataValidation>
    <x:dataValidation type="decimal" operator="between" sqref="D11">
      <x:formula1>0</x:formula1>
      <x:formula2>1000000000000</x:formula2>
    </x:dataValidation>
    <x:dataValidation type="decimal" operator="between" sqref="E11">
      <x:formula1>0</x:formula1>
      <x:formula2>1000000000000</x:formula2>
    </x:dataValidation>
    <x:dataValidation type="decimal" operator="between" sqref="F11">
      <x:formula1>0</x:formula1>
      <x:formula2>1</x:formula2>
    </x:dataValidation>
    <x:dataValidation type="decimal" operator="between" sqref="G11">
      <x:formula1>0</x:formula1>
      <x:formula2>1000000000000</x:formula2>
    </x:dataValidation>
    <x:dataValidation type="decimal" operator="between" sqref="H11">
      <x:formula1>0</x:formula1>
      <x:formula2>1000000000000</x:formula2>
    </x:dataValidation>
    <x:dataValidation type="decimal" operator="between" sqref="I11">
      <x:formula1>0</x:formula1>
      <x:formula2>1000000000000</x:formula2>
    </x:dataValidation>
    <x:dataValidation type="decimal" operator="between" sqref="J11">
      <x:formula1>0</x:formula1>
      <x:formula2>1</x:formula2>
    </x:dataValidation>
    <x:dataValidation type="decimal" operator="between" sqref="K11">
      <x:formula1>0</x:formula1>
      <x:formula2>1000000000000</x:formula2>
    </x:dataValidation>
    <x:dataValidation type="decimal" operator="between" sqref="L11">
      <x:formula1>0</x:formula1>
      <x:formula2>1000000000000</x:formula2>
    </x:dataValidation>
    <x:dataValidation type="decimal" operator="between" sqref="M11">
      <x:formula1>0</x:formula1>
      <x:formula2>1000000000000</x:formula2>
    </x:dataValidation>
    <x:dataValidation type="decimal" operator="between" sqref="D12">
      <x:formula1>0</x:formula1>
      <x:formula2>1000000000000</x:formula2>
    </x:dataValidation>
    <x:dataValidation type="decimal" operator="between" sqref="E12">
      <x:formula1>0</x:formula1>
      <x:formula2>1000000000000</x:formula2>
    </x:dataValidation>
    <x:dataValidation type="decimal" operator="between" sqref="F12">
      <x:formula1>0</x:formula1>
      <x:formula2>1</x:formula2>
    </x:dataValidation>
    <x:dataValidation type="decimal" operator="between" sqref="G12">
      <x:formula1>0</x:formula1>
      <x:formula2>1000000000000</x:formula2>
    </x:dataValidation>
    <x:dataValidation type="decimal" operator="between" sqref="H12">
      <x:formula1>0</x:formula1>
      <x:formula2>1000000000000</x:formula2>
    </x:dataValidation>
    <x:dataValidation type="decimal" operator="between" sqref="I12">
      <x:formula1>0</x:formula1>
      <x:formula2>1000000000000</x:formula2>
    </x:dataValidation>
    <x:dataValidation type="decimal" operator="between" sqref="J12">
      <x:formula1>0</x:formula1>
      <x:formula2>1</x:formula2>
    </x:dataValidation>
    <x:dataValidation type="decimal" operator="between" sqref="K12">
      <x:formula1>0</x:formula1>
      <x:formula2>1000000000000</x:formula2>
    </x:dataValidation>
    <x:dataValidation type="decimal" operator="between" sqref="L12">
      <x:formula1>0</x:formula1>
      <x:formula2>1000000000000</x:formula2>
    </x:dataValidation>
    <x:dataValidation type="decimal" operator="between" sqref="M12">
      <x:formula1>0</x:formula1>
      <x:formula2>1000000000000</x:formula2>
    </x:dataValidation>
    <x:dataValidation type="decimal" operator="between" sqref="D13">
      <x:formula1>0</x:formula1>
      <x:formula2>1000000000000</x:formula2>
    </x:dataValidation>
    <x:dataValidation type="decimal" operator="between" sqref="E13">
      <x:formula1>0</x:formula1>
      <x:formula2>1000000000000</x:formula2>
    </x:dataValidation>
    <x:dataValidation type="decimal" operator="between" sqref="F13">
      <x:formula1>0</x:formula1>
      <x:formula2>1</x:formula2>
    </x:dataValidation>
    <x:dataValidation type="decimal" operator="between" sqref="G13">
      <x:formula1>0</x:formula1>
      <x:formula2>1000000000000</x:formula2>
    </x:dataValidation>
    <x:dataValidation type="decimal" operator="between" sqref="H13">
      <x:formula1>0</x:formula1>
      <x:formula2>1000000000000</x:formula2>
    </x:dataValidation>
    <x:dataValidation type="decimal" operator="between" sqref="I13">
      <x:formula1>0</x:formula1>
      <x:formula2>1000000000000</x:formula2>
    </x:dataValidation>
    <x:dataValidation type="decimal" operator="between" sqref="J13">
      <x:formula1>0</x:formula1>
      <x:formula2>1</x:formula2>
    </x:dataValidation>
    <x:dataValidation type="decimal" operator="between" sqref="K13">
      <x:formula1>0</x:formula1>
      <x:formula2>1000000000000</x:formula2>
    </x:dataValidation>
    <x:dataValidation type="decimal" operator="between" sqref="L13">
      <x:formula1>0</x:formula1>
      <x:formula2>1000000000000</x:formula2>
    </x:dataValidation>
    <x:dataValidation type="decimal" operator="between" sqref="M13">
      <x:formula1>0</x:formula1>
      <x:formula2>1000000000000</x:formula2>
    </x:dataValidation>
    <x:dataValidation type="decimal" operator="between" sqref="D14">
      <x:formula1>0</x:formula1>
      <x:formula2>1000000000000</x:formula2>
    </x:dataValidation>
    <x:dataValidation type="decimal" operator="between" sqref="E14">
      <x:formula1>0</x:formula1>
      <x:formula2>1000000000000</x:formula2>
    </x:dataValidation>
    <x:dataValidation type="decimal" operator="between" sqref="F14">
      <x:formula1>0</x:formula1>
      <x:formula2>1</x:formula2>
    </x:dataValidation>
    <x:dataValidation type="decimal" operator="between" sqref="G14">
      <x:formula1>0</x:formula1>
      <x:formula2>1000000000000</x:formula2>
    </x:dataValidation>
    <x:dataValidation type="decimal" operator="between" sqref="H14">
      <x:formula1>0</x:formula1>
      <x:formula2>1000000000000</x:formula2>
    </x:dataValidation>
    <x:dataValidation type="decimal" operator="between" sqref="I14">
      <x:formula1>0</x:formula1>
      <x:formula2>1000000000000</x:formula2>
    </x:dataValidation>
    <x:dataValidation type="decimal" operator="between" sqref="J14">
      <x:formula1>0</x:formula1>
      <x:formula2>1</x:formula2>
    </x:dataValidation>
    <x:dataValidation type="decimal" operator="between" sqref="K14">
      <x:formula1>0</x:formula1>
      <x:formula2>1000000000000</x:formula2>
    </x:dataValidation>
    <x:dataValidation type="decimal" operator="between" sqref="L14">
      <x:formula1>0</x:formula1>
      <x:formula2>1000000000000</x:formula2>
    </x:dataValidation>
    <x:dataValidation type="decimal" operator="between" sqref="M14">
      <x:formula1>0</x:formula1>
      <x:formula2>1000000000000</x:formula2>
    </x:dataValidation>
    <x:dataValidation type="decimal" operator="between" sqref="D15">
      <x:formula1>0</x:formula1>
      <x:formula2>1000000000000</x:formula2>
    </x:dataValidation>
    <x:dataValidation type="decimal" operator="between" sqref="E15">
      <x:formula1>0</x:formula1>
      <x:formula2>1000000000000</x:formula2>
    </x:dataValidation>
    <x:dataValidation type="decimal" operator="between" sqref="F15">
      <x:formula1>0</x:formula1>
      <x:formula2>1</x:formula2>
    </x:dataValidation>
    <x:dataValidation type="decimal" operator="between" sqref="G15">
      <x:formula1>0</x:formula1>
      <x:formula2>1000000000000</x:formula2>
    </x:dataValidation>
    <x:dataValidation type="decimal" operator="between" sqref="H15">
      <x:formula1>0</x:formula1>
      <x:formula2>1000000000000</x:formula2>
    </x:dataValidation>
    <x:dataValidation type="decimal" operator="between" sqref="I15">
      <x:formula1>0</x:formula1>
      <x:formula2>1000000000000</x:formula2>
    </x:dataValidation>
    <x:dataValidation type="decimal" operator="between" sqref="J15">
      <x:formula1>0</x:formula1>
      <x:formula2>1</x:formula2>
    </x:dataValidation>
    <x:dataValidation type="decimal" operator="between" sqref="K15">
      <x:formula1>0</x:formula1>
      <x:formula2>1000000000000</x:formula2>
    </x:dataValidation>
    <x:dataValidation type="decimal" operator="between" sqref="L15">
      <x:formula1>0</x:formula1>
      <x:formula2>1000000000000</x:formula2>
    </x:dataValidation>
    <x:dataValidation type="decimal" operator="between" sqref="M15">
      <x:formula1>0</x:formula1>
      <x:formula2>1000000000000</x:formula2>
    </x:dataValidation>
    <x:dataValidation type="decimal" operator="between" sqref="D16">
      <x:formula1>0</x:formula1>
      <x:formula2>1000000000000</x:formula2>
    </x:dataValidation>
    <x:dataValidation type="decimal" operator="between" sqref="E16">
      <x:formula1>0</x:formula1>
      <x:formula2>1000000000000</x:formula2>
    </x:dataValidation>
    <x:dataValidation type="decimal" operator="between" sqref="F16">
      <x:formula1>0</x:formula1>
      <x:formula2>1</x:formula2>
    </x:dataValidation>
    <x:dataValidation type="decimal" operator="between" sqref="G16">
      <x:formula1>0</x:formula1>
      <x:formula2>1000000000000</x:formula2>
    </x:dataValidation>
    <x:dataValidation type="decimal" operator="between" sqref="H16">
      <x:formula1>0</x:formula1>
      <x:formula2>1000000000000</x:formula2>
    </x:dataValidation>
    <x:dataValidation type="decimal" operator="between" sqref="I16">
      <x:formula1>0</x:formula1>
      <x:formula2>1000000000000</x:formula2>
    </x:dataValidation>
    <x:dataValidation type="decimal" operator="between" sqref="J16">
      <x:formula1>0</x:formula1>
      <x:formula2>1</x:formula2>
    </x:dataValidation>
    <x:dataValidation type="decimal" operator="between" sqref="K16">
      <x:formula1>0</x:formula1>
      <x:formula2>1000000000000</x:formula2>
    </x:dataValidation>
    <x:dataValidation type="decimal" operator="between" sqref="L16">
      <x:formula1>0</x:formula1>
      <x:formula2>1000000000000</x:formula2>
    </x:dataValidation>
    <x:dataValidation type="decimal" operator="between" sqref="M16">
      <x:formula1>0</x:formula1>
      <x:formula2>1000000000000</x:formula2>
    </x:dataValidation>
    <x:dataValidation type="decimal" operator="between" sqref="D17">
      <x:formula1>0</x:formula1>
      <x:formula2>1000000000000</x:formula2>
    </x:dataValidation>
    <x:dataValidation type="decimal" operator="between" sqref="E17">
      <x:formula1>0</x:formula1>
      <x:formula2>1000000000000</x:formula2>
    </x:dataValidation>
    <x:dataValidation type="decimal" operator="between" sqref="F17">
      <x:formula1>0</x:formula1>
      <x:formula2>1</x:formula2>
    </x:dataValidation>
    <x:dataValidation type="decimal" operator="between" sqref="G17">
      <x:formula1>0</x:formula1>
      <x:formula2>1000000000000</x:formula2>
    </x:dataValidation>
    <x:dataValidation type="decimal" operator="between" sqref="H17">
      <x:formula1>0</x:formula1>
      <x:formula2>1000000000000</x:formula2>
    </x:dataValidation>
    <x:dataValidation type="decimal" operator="between" sqref="I17">
      <x:formula1>0</x:formula1>
      <x:formula2>1000000000000</x:formula2>
    </x:dataValidation>
    <x:dataValidation type="decimal" operator="between" sqref="J17">
      <x:formula1>0</x:formula1>
      <x:formula2>1</x:formula2>
    </x:dataValidation>
    <x:dataValidation type="decimal" operator="between" sqref="K17">
      <x:formula1>0</x:formula1>
      <x:formula2>1000000000000</x:formula2>
    </x:dataValidation>
    <x:dataValidation type="decimal" operator="between" sqref="L17">
      <x:formula1>0</x:formula1>
      <x:formula2>1000000000000</x:formula2>
    </x:dataValidation>
    <x:dataValidation type="decimal" operator="between" sqref="M17">
      <x:formula1>0</x:formula1>
      <x:formula2>1000000000000</x:formula2>
    </x:dataValidation>
    <x:dataValidation type="decimal" operator="between" sqref="D18">
      <x:formula1>0</x:formula1>
      <x:formula2>1000000000000</x:formula2>
    </x:dataValidation>
    <x:dataValidation type="decimal" operator="between" sqref="E18">
      <x:formula1>0</x:formula1>
      <x:formula2>1000000000000</x:formula2>
    </x:dataValidation>
    <x:dataValidation type="decimal" operator="between" sqref="F18">
      <x:formula1>0</x:formula1>
      <x:formula2>1</x:formula2>
    </x:dataValidation>
    <x:dataValidation type="decimal" operator="between" sqref="G18">
      <x:formula1>0</x:formula1>
      <x:formula2>1000000000000</x:formula2>
    </x:dataValidation>
    <x:dataValidation type="decimal" operator="between" sqref="H18">
      <x:formula1>0</x:formula1>
      <x:formula2>1000000000000</x:formula2>
    </x:dataValidation>
    <x:dataValidation type="decimal" operator="between" sqref="I18">
      <x:formula1>0</x:formula1>
      <x:formula2>1000000000000</x:formula2>
    </x:dataValidation>
    <x:dataValidation type="decimal" operator="between" sqref="J18">
      <x:formula1>0</x:formula1>
      <x:formula2>1</x:formula2>
    </x:dataValidation>
    <x:dataValidation type="decimal" operator="between" sqref="K18">
      <x:formula1>0</x:formula1>
      <x:formula2>1000000000000</x:formula2>
    </x:dataValidation>
    <x:dataValidation type="decimal" operator="between" sqref="L18">
      <x:formula1>0</x:formula1>
      <x:formula2>1000000000000</x:formula2>
    </x:dataValidation>
    <x:dataValidation type="decimal" operator="between" sqref="M18">
      <x:formula1>0</x:formula1>
      <x:formula2>1000000000000</x:formula2>
    </x:dataValidation>
    <x:dataValidation type="decimal" operator="between" sqref="D19">
      <x:formula1>0</x:formula1>
      <x:formula2>1000000000000</x:formula2>
    </x:dataValidation>
    <x:dataValidation type="decimal" operator="between" sqref="E19">
      <x:formula1>0</x:formula1>
      <x:formula2>1000000000000</x:formula2>
    </x:dataValidation>
    <x:dataValidation type="decimal" operator="between" sqref="F19">
      <x:formula1>0</x:formula1>
      <x:formula2>1</x:formula2>
    </x:dataValidation>
    <x:dataValidation type="decimal" operator="between" sqref="G19">
      <x:formula1>0</x:formula1>
      <x:formula2>1000000000000</x:formula2>
    </x:dataValidation>
    <x:dataValidation type="decimal" operator="between" sqref="H19">
      <x:formula1>0</x:formula1>
      <x:formula2>1000000000000</x:formula2>
    </x:dataValidation>
    <x:dataValidation type="decimal" operator="between" sqref="I19">
      <x:formula1>0</x:formula1>
      <x:formula2>1000000000000</x:formula2>
    </x:dataValidation>
    <x:dataValidation type="decimal" operator="between" sqref="J19">
      <x:formula1>0</x:formula1>
      <x:formula2>1</x:formula2>
    </x:dataValidation>
    <x:dataValidation type="decimal" operator="between" sqref="K19">
      <x:formula1>0</x:formula1>
      <x:formula2>1000000000000</x:formula2>
    </x:dataValidation>
    <x:dataValidation type="decimal" operator="between" sqref="L19">
      <x:formula1>0</x:formula1>
      <x:formula2>1000000000000</x:formula2>
    </x:dataValidation>
    <x:dataValidation type="decimal" operator="between" sqref="M19">
      <x:formula1>0</x:formula1>
      <x:formula2>1000000000000</x:formula2>
    </x:dataValidation>
    <x:dataValidation type="decimal" operator="between" sqref="D20">
      <x:formula1>0</x:formula1>
      <x:formula2>1000000000000</x:formula2>
    </x:dataValidation>
    <x:dataValidation type="decimal" operator="between" sqref="E20">
      <x:formula1>0</x:formula1>
      <x:formula2>1000000000000</x:formula2>
    </x:dataValidation>
    <x:dataValidation type="decimal" operator="between" sqref="F20">
      <x:formula1>0</x:formula1>
      <x:formula2>1</x:formula2>
    </x:dataValidation>
    <x:dataValidation type="decimal" operator="between" sqref="G20">
      <x:formula1>0</x:formula1>
      <x:formula2>1000000000000</x:formula2>
    </x:dataValidation>
    <x:dataValidation type="decimal" operator="between" sqref="H20">
      <x:formula1>0</x:formula1>
      <x:formula2>1000000000000</x:formula2>
    </x:dataValidation>
    <x:dataValidation type="decimal" operator="between" sqref="I20">
      <x:formula1>0</x:formula1>
      <x:formula2>1000000000000</x:formula2>
    </x:dataValidation>
    <x:dataValidation type="decimal" operator="between" sqref="J20">
      <x:formula1>0</x:formula1>
      <x:formula2>1</x:formula2>
    </x:dataValidation>
    <x:dataValidation type="decimal" operator="between" sqref="K20">
      <x:formula1>0</x:formula1>
      <x:formula2>1000000000000</x:formula2>
    </x:dataValidation>
    <x:dataValidation type="decimal" operator="between" sqref="L20">
      <x:formula1>0</x:formula1>
      <x:formula2>1000000000000</x:formula2>
    </x:dataValidation>
    <x:dataValidation type="decimal" operator="between" sqref="M20">
      <x:formula1>0</x:formula1>
      <x:formula2>1000000000000</x:formula2>
    </x:dataValidation>
    <x:dataValidation type="decimal" operator="between" sqref="D21">
      <x:formula1>0</x:formula1>
      <x:formula2>1000000000000</x:formula2>
    </x:dataValidation>
    <x:dataValidation type="decimal" operator="between" sqref="E21">
      <x:formula1>0</x:formula1>
      <x:formula2>1000000000000</x:formula2>
    </x:dataValidation>
    <x:dataValidation type="decimal" operator="between" sqref="F21">
      <x:formula1>0</x:formula1>
      <x:formula2>1</x:formula2>
    </x:dataValidation>
    <x:dataValidation type="decimal" operator="between" sqref="G21">
      <x:formula1>0</x:formula1>
      <x:formula2>1000000000000</x:formula2>
    </x:dataValidation>
    <x:dataValidation type="decimal" operator="between" sqref="H21">
      <x:formula1>0</x:formula1>
      <x:formula2>1000000000000</x:formula2>
    </x:dataValidation>
    <x:dataValidation type="decimal" operator="between" sqref="I21">
      <x:formula1>0</x:formula1>
      <x:formula2>1000000000000</x:formula2>
    </x:dataValidation>
    <x:dataValidation type="decimal" operator="between" sqref="J21">
      <x:formula1>0</x:formula1>
      <x:formula2>1</x:formula2>
    </x:dataValidation>
    <x:dataValidation type="decimal" operator="between" sqref="K21">
      <x:formula1>0</x:formula1>
      <x:formula2>1000000000000</x:formula2>
    </x:dataValidation>
    <x:dataValidation type="decimal" operator="between" sqref="L21">
      <x:formula1>0</x:formula1>
      <x:formula2>1000000000000</x:formula2>
    </x:dataValidation>
    <x:dataValidation type="decimal" operator="between" sqref="M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54"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Monthly cash convention. Listed business debt and maintenance capital are above residual cash.</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Saleable bay-hour capacity</x:v>
      </x:c>
      <x:c r="D10" s="2" t="str">
        <x:v>hours</x:v>
      </x:c>
      <x:c r="E10" s="49" t="n">
        <x:f>IF(COUNT(G10:R10)=12,SUM(G10:R10),"n.a.")</x:f>
        <x:v>9504</x:v>
      </x:c>
      <x:c r="F10" s="2"/>
      <x:c r="G10" s="48" t="n">
        <x:f>IF(AND('Service Bays'!N10="OK"),IF(AND(ISNUMBER('Service Bays'!$D$10),ISNUMBER('Service Bays'!$E$10),ISNUMBER('Service Bays'!$F$10)),'Service Bays'!$D$10*'Service Bays'!$E$10*'Service Bays'!$F$10,"n.a."),"n.a.")</x:f>
        <x:v>792</x:v>
      </x:c>
      <x:c r="H10" s="48" t="n">
        <x:f>IF(AND('Service Bays'!N11="OK"),IF(AND(ISNUMBER('Service Bays'!$D$11),ISNUMBER('Service Bays'!$E$11),ISNUMBER('Service Bays'!$F$11)),'Service Bays'!$D$11*'Service Bays'!$E$11*'Service Bays'!$F$11,"n.a."),"n.a.")</x:f>
        <x:v>792</x:v>
      </x:c>
      <x:c r="I10" s="48" t="n">
        <x:f>IF(AND('Service Bays'!N12="OK"),IF(AND(ISNUMBER('Service Bays'!$D$12),ISNUMBER('Service Bays'!$E$12),ISNUMBER('Service Bays'!$F$12)),'Service Bays'!$D$12*'Service Bays'!$E$12*'Service Bays'!$F$12,"n.a."),"n.a.")</x:f>
        <x:v>792</x:v>
      </x:c>
      <x:c r="J10" s="48" t="n">
        <x:f>IF(AND('Service Bays'!N13="OK"),IF(AND(ISNUMBER('Service Bays'!$D$13),ISNUMBER('Service Bays'!$E$13),ISNUMBER('Service Bays'!$F$13)),'Service Bays'!$D$13*'Service Bays'!$E$13*'Service Bays'!$F$13,"n.a."),"n.a.")</x:f>
        <x:v>792</x:v>
      </x:c>
      <x:c r="K10" s="48" t="n">
        <x:f>IF(AND('Service Bays'!N14="OK"),IF(AND(ISNUMBER('Service Bays'!$D$14),ISNUMBER('Service Bays'!$E$14),ISNUMBER('Service Bays'!$F$14)),'Service Bays'!$D$14*'Service Bays'!$E$14*'Service Bays'!$F$14,"n.a."),"n.a.")</x:f>
        <x:v>792</x:v>
      </x:c>
      <x:c r="L10" s="48" t="n">
        <x:f>IF(AND('Service Bays'!N15="OK"),IF(AND(ISNUMBER('Service Bays'!$D$15),ISNUMBER('Service Bays'!$E$15),ISNUMBER('Service Bays'!$F$15)),'Service Bays'!$D$15*'Service Bays'!$E$15*'Service Bays'!$F$15,"n.a."),"n.a.")</x:f>
        <x:v>792</x:v>
      </x:c>
      <x:c r="M10" s="48" t="n">
        <x:f>IF(AND('Service Bays'!N16="OK"),IF(AND(ISNUMBER('Service Bays'!$D$16),ISNUMBER('Service Bays'!$E$16),ISNUMBER('Service Bays'!$F$16)),'Service Bays'!$D$16*'Service Bays'!$E$16*'Service Bays'!$F$16,"n.a."),"n.a.")</x:f>
        <x:v>792</x:v>
      </x:c>
      <x:c r="N10" s="48" t="n">
        <x:f>IF(AND('Service Bays'!N17="OK"),IF(AND(ISNUMBER('Service Bays'!$D$17),ISNUMBER('Service Bays'!$E$17),ISNUMBER('Service Bays'!$F$17)),'Service Bays'!$D$17*'Service Bays'!$E$17*'Service Bays'!$F$17,"n.a."),"n.a.")</x:f>
        <x:v>792</x:v>
      </x:c>
      <x:c r="O10" s="48" t="n">
        <x:f>IF(AND('Service Bays'!N18="OK"),IF(AND(ISNUMBER('Service Bays'!$D$18),ISNUMBER('Service Bays'!$E$18),ISNUMBER('Service Bays'!$F$18)),'Service Bays'!$D$18*'Service Bays'!$E$18*'Service Bays'!$F$18,"n.a."),"n.a.")</x:f>
        <x:v>792</x:v>
      </x:c>
      <x:c r="P10" s="48" t="n">
        <x:f>IF(AND('Service Bays'!N19="OK"),IF(AND(ISNUMBER('Service Bays'!$D$19),ISNUMBER('Service Bays'!$E$19),ISNUMBER('Service Bays'!$F$19)),'Service Bays'!$D$19*'Service Bays'!$E$19*'Service Bays'!$F$19,"n.a."),"n.a.")</x:f>
        <x:v>792</x:v>
      </x:c>
      <x:c r="Q10" s="48" t="n">
        <x:f>IF(AND('Service Bays'!N20="OK"),IF(AND(ISNUMBER('Service Bays'!$D$20),ISNUMBER('Service Bays'!$E$20),ISNUMBER('Service Bays'!$F$20)),'Service Bays'!$D$20*'Service Bays'!$E$20*'Service Bays'!$F$20,"n.a."),"n.a.")</x:f>
        <x:v>792</x:v>
      </x:c>
      <x:c r="R10" s="48" t="n">
        <x:f>IF(AND('Service Bays'!N21="OK"),IF(AND(ISNUMBER('Service Bays'!$D$21),ISNUMBER('Service Bays'!$E$21),ISNUMBER('Service Bays'!$F$21)),'Service Bays'!$D$21*'Service Bays'!$E$21*'Service Bays'!$F$21,"n.a."),"n.a.")</x:f>
        <x:v>792</x:v>
      </x:c>
    </x:row>
    <x:row r="11" ht="21" customHeight="1">
      <x:c r="A11" s="2"/>
      <x:c r="B11" s="2"/>
      <x:c r="C11" s="2" t="str">
        <x:v>Supported sold labor hours</x:v>
      </x:c>
      <x:c r="D11" s="2" t="str">
        <x:v>hours</x:v>
      </x:c>
      <x:c r="E11" s="49" t="n">
        <x:f>IF(COUNT(G11:R11)=12,SUM(G11:R11),"n.a.")</x:f>
        <x:v>9504</x:v>
      </x:c>
      <x:c r="F11" s="2"/>
      <x:c r="G11" s="48" t="n">
        <x:f>IF(AND('Service Bays'!N10="OK"),IF(AND(ISNUMBER(G10),ISNUMBER('Service Bays'!$G$10),ISNUMBER('Assumptions'!$D$61)),MIN(G10,'Service Bays'!$G$10*'Assumptions'!$D$61),"n.a."),"n.a.")</x:f>
        <x:v>792</x:v>
      </x:c>
      <x:c r="H11" s="48" t="n">
        <x:f>IF(AND('Service Bays'!N11="OK"),IF(AND(ISNUMBER(H10),ISNUMBER('Service Bays'!$G$11),ISNUMBER('Assumptions'!$D$61)),MIN(H10,'Service Bays'!$G$11*'Assumptions'!$D$61),"n.a."),"n.a.")</x:f>
        <x:v>792</x:v>
      </x:c>
      <x:c r="I11" s="48" t="n">
        <x:f>IF(AND('Service Bays'!N12="OK"),IF(AND(ISNUMBER(I10),ISNUMBER('Service Bays'!$G$12),ISNUMBER('Assumptions'!$D$61)),MIN(I10,'Service Bays'!$G$12*'Assumptions'!$D$61),"n.a."),"n.a.")</x:f>
        <x:v>792</x:v>
      </x:c>
      <x:c r="J11" s="48" t="n">
        <x:f>IF(AND('Service Bays'!N13="OK"),IF(AND(ISNUMBER(J10),ISNUMBER('Service Bays'!$G$13),ISNUMBER('Assumptions'!$D$61)),MIN(J10,'Service Bays'!$G$13*'Assumptions'!$D$61),"n.a."),"n.a.")</x:f>
        <x:v>792</x:v>
      </x:c>
      <x:c r="K11" s="48" t="n">
        <x:f>IF(AND('Service Bays'!N14="OK"),IF(AND(ISNUMBER(K10),ISNUMBER('Service Bays'!$G$14),ISNUMBER('Assumptions'!$D$61)),MIN(K10,'Service Bays'!$G$14*'Assumptions'!$D$61),"n.a."),"n.a.")</x:f>
        <x:v>792</x:v>
      </x:c>
      <x:c r="L11" s="48" t="n">
        <x:f>IF(AND('Service Bays'!N15="OK"),IF(AND(ISNUMBER(L10),ISNUMBER('Service Bays'!$G$15),ISNUMBER('Assumptions'!$D$61)),MIN(L10,'Service Bays'!$G$15*'Assumptions'!$D$61),"n.a."),"n.a.")</x:f>
        <x:v>792</x:v>
      </x:c>
      <x:c r="M11" s="48" t="n">
        <x:f>IF(AND('Service Bays'!N16="OK"),IF(AND(ISNUMBER(M10),ISNUMBER('Service Bays'!$G$16),ISNUMBER('Assumptions'!$D$61)),MIN(M10,'Service Bays'!$G$16*'Assumptions'!$D$61),"n.a."),"n.a.")</x:f>
        <x:v>792</x:v>
      </x:c>
      <x:c r="N11" s="48" t="n">
        <x:f>IF(AND('Service Bays'!N17="OK"),IF(AND(ISNUMBER(N10),ISNUMBER('Service Bays'!$G$17),ISNUMBER('Assumptions'!$D$61)),MIN(N10,'Service Bays'!$G$17*'Assumptions'!$D$61),"n.a."),"n.a.")</x:f>
        <x:v>792</x:v>
      </x:c>
      <x:c r="O11" s="48" t="n">
        <x:f>IF(AND('Service Bays'!N18="OK"),IF(AND(ISNUMBER(O10),ISNUMBER('Service Bays'!$G$18),ISNUMBER('Assumptions'!$D$61)),MIN(O10,'Service Bays'!$G$18*'Assumptions'!$D$61),"n.a."),"n.a.")</x:f>
        <x:v>792</x:v>
      </x:c>
      <x:c r="P11" s="48" t="n">
        <x:f>IF(AND('Service Bays'!N19="OK"),IF(AND(ISNUMBER(P10),ISNUMBER('Service Bays'!$G$19),ISNUMBER('Assumptions'!$D$61)),MIN(P10,'Service Bays'!$G$19*'Assumptions'!$D$61),"n.a."),"n.a.")</x:f>
        <x:v>792</x:v>
      </x:c>
      <x:c r="Q11" s="48" t="n">
        <x:f>IF(AND('Service Bays'!N20="OK"),IF(AND(ISNUMBER(Q10),ISNUMBER('Service Bays'!$G$20),ISNUMBER('Assumptions'!$D$61)),MIN(Q10,'Service Bays'!$G$20*'Assumptions'!$D$61),"n.a."),"n.a.")</x:f>
        <x:v>792</x:v>
      </x:c>
      <x:c r="R11" s="48" t="n">
        <x:f>IF(AND('Service Bays'!N21="OK"),IF(AND(ISNUMBER(R10),ISNUMBER('Service Bays'!$G$21),ISNUMBER('Assumptions'!$D$61)),MIN(R10,'Service Bays'!$G$21*'Assumptions'!$D$61),"n.a."),"n.a.")</x:f>
        <x:v>792</x:v>
      </x:c>
    </x:row>
    <x:row r="12" ht="21" customHeight="1">
      <x:c r="A12" s="2"/>
      <x:c r="B12" s="2"/>
      <x:c r="C12" s="2" t="str">
        <x:v>Parts sales</x:v>
      </x:c>
      <x:c r="D12" s="2" t="str">
        <x:v>USD</x:v>
      </x:c>
      <x:c r="E12" s="52" t="n">
        <x:f>IF(COUNT(G12:R12)=12,SUM(G12:R12),"n.a.")</x:f>
        <x:v>997920</x:v>
      </x:c>
      <x:c r="F12" s="2"/>
      <x:c r="G12" s="51" t="n">
        <x:f>IF(AND('Service Bays'!N10="OK"),IF(AND(ISNUMBER(G11),ISNUMBER('Service Bays'!$I$10),ISNUMBER('Assumptions'!$D$64)),G11*'Service Bays'!$I$10*'Assumptions'!$D$64,"n.a."),"n.a.")</x:f>
        <x:v>83160</x:v>
      </x:c>
      <x:c r="H12" s="51" t="n">
        <x:f>IF(AND('Service Bays'!N11="OK"),IF(AND(ISNUMBER(H11),ISNUMBER('Service Bays'!$I$11),ISNUMBER('Assumptions'!$D$64)),H11*'Service Bays'!$I$11*'Assumptions'!$D$64,"n.a."),"n.a.")</x:f>
        <x:v>83160</x:v>
      </x:c>
      <x:c r="I12" s="51" t="n">
        <x:f>IF(AND('Service Bays'!N12="OK"),IF(AND(ISNUMBER(I11),ISNUMBER('Service Bays'!$I$12),ISNUMBER('Assumptions'!$D$64)),I11*'Service Bays'!$I$12*'Assumptions'!$D$64,"n.a."),"n.a.")</x:f>
        <x:v>83160</x:v>
      </x:c>
      <x:c r="J12" s="51" t="n">
        <x:f>IF(AND('Service Bays'!N13="OK"),IF(AND(ISNUMBER(J11),ISNUMBER('Service Bays'!$I$13),ISNUMBER('Assumptions'!$D$64)),J11*'Service Bays'!$I$13*'Assumptions'!$D$64,"n.a."),"n.a.")</x:f>
        <x:v>83160</x:v>
      </x:c>
      <x:c r="K12" s="51" t="n">
        <x:f>IF(AND('Service Bays'!N14="OK"),IF(AND(ISNUMBER(K11),ISNUMBER('Service Bays'!$I$14),ISNUMBER('Assumptions'!$D$64)),K11*'Service Bays'!$I$14*'Assumptions'!$D$64,"n.a."),"n.a.")</x:f>
        <x:v>83160</x:v>
      </x:c>
      <x:c r="L12" s="51" t="n">
        <x:f>IF(AND('Service Bays'!N15="OK"),IF(AND(ISNUMBER(L11),ISNUMBER('Service Bays'!$I$15),ISNUMBER('Assumptions'!$D$64)),L11*'Service Bays'!$I$15*'Assumptions'!$D$64,"n.a."),"n.a.")</x:f>
        <x:v>83160</x:v>
      </x:c>
      <x:c r="M12" s="51" t="n">
        <x:f>IF(AND('Service Bays'!N16="OK"),IF(AND(ISNUMBER(M11),ISNUMBER('Service Bays'!$I$16),ISNUMBER('Assumptions'!$D$64)),M11*'Service Bays'!$I$16*'Assumptions'!$D$64,"n.a."),"n.a.")</x:f>
        <x:v>83160</x:v>
      </x:c>
      <x:c r="N12" s="51" t="n">
        <x:f>IF(AND('Service Bays'!N17="OK"),IF(AND(ISNUMBER(N11),ISNUMBER('Service Bays'!$I$17),ISNUMBER('Assumptions'!$D$64)),N11*'Service Bays'!$I$17*'Assumptions'!$D$64,"n.a."),"n.a.")</x:f>
        <x:v>83160</x:v>
      </x:c>
      <x:c r="O12" s="51" t="n">
        <x:f>IF(AND('Service Bays'!N18="OK"),IF(AND(ISNUMBER(O11),ISNUMBER('Service Bays'!$I$18),ISNUMBER('Assumptions'!$D$64)),O11*'Service Bays'!$I$18*'Assumptions'!$D$64,"n.a."),"n.a.")</x:f>
        <x:v>83160</x:v>
      </x:c>
      <x:c r="P12" s="51" t="n">
        <x:f>IF(AND('Service Bays'!N19="OK"),IF(AND(ISNUMBER(P11),ISNUMBER('Service Bays'!$I$19),ISNUMBER('Assumptions'!$D$64)),P11*'Service Bays'!$I$19*'Assumptions'!$D$64,"n.a."),"n.a.")</x:f>
        <x:v>83160</x:v>
      </x:c>
      <x:c r="Q12" s="51" t="n">
        <x:f>IF(AND('Service Bays'!N20="OK"),IF(AND(ISNUMBER(Q11),ISNUMBER('Service Bays'!$I$20),ISNUMBER('Assumptions'!$D$64)),Q11*'Service Bays'!$I$20*'Assumptions'!$D$64,"n.a."),"n.a.")</x:f>
        <x:v>83160</x:v>
      </x:c>
      <x:c r="R12" s="51" t="n">
        <x:f>IF(AND('Service Bays'!N21="OK"),IF(AND(ISNUMBER(R11),ISNUMBER('Service Bays'!$I$21),ISNUMBER('Assumptions'!$D$64)),R11*'Service Bays'!$I$21*'Assumptions'!$D$64,"n.a."),"n.a.")</x:f>
        <x:v>83160</x:v>
      </x:c>
    </x:row>
    <x:row r="13" ht="21" customHeight="1">
      <x:c r="A13" s="2"/>
      <x:c r="B13" s="2"/>
      <x:c r="C13" s="2" t="str">
        <x:v>Net collectible labor and parts billings</x:v>
      </x:c>
      <x:c r="D13" s="2" t="str">
        <x:v>USD</x:v>
      </x:c>
      <x:c r="E13" s="52" t="n">
        <x:f>IF(COUNT(G13:R13)=12,SUM(G13:R13),"n.a.")</x:f>
        <x:v>2235340.7999999993</x:v>
      </x:c>
      <x:c r="F13" s="2"/>
      <x:c r="G13" s="51" t="n">
        <x:f>IF(AND('Service Bays'!N10="OK"),IF(AND(ISNUMBER(G11),ISNUMBER('Service Bays'!$H$10),ISNUMBER('Assumptions'!$D$64),ISNUMBER(G12),ISNUMBER('Assumptions'!$D$94)),(G11*'Service Bays'!$H$10*'Assumptions'!$D$64+G12)*'Assumptions'!$D$94,"n.a."),"n.a.")</x:f>
        <x:v>186278.4</x:v>
      </x:c>
      <x:c r="H13" s="51" t="n">
        <x:f>IF(AND('Service Bays'!N11="OK"),IF(AND(ISNUMBER(H11),ISNUMBER('Service Bays'!$H$11),ISNUMBER('Assumptions'!$D$64),ISNUMBER(H12),ISNUMBER('Assumptions'!$D$94)),(H11*'Service Bays'!$H$11*'Assumptions'!$D$64+H12)*'Assumptions'!$D$94,"n.a."),"n.a.")</x:f>
        <x:v>186278.4</x:v>
      </x:c>
      <x:c r="I13" s="51" t="n">
        <x:f>IF(AND('Service Bays'!N12="OK"),IF(AND(ISNUMBER(I11),ISNUMBER('Service Bays'!$H$12),ISNUMBER('Assumptions'!$D$64),ISNUMBER(I12),ISNUMBER('Assumptions'!$D$94)),(I11*'Service Bays'!$H$12*'Assumptions'!$D$64+I12)*'Assumptions'!$D$94,"n.a."),"n.a.")</x:f>
        <x:v>186278.4</x:v>
      </x:c>
      <x:c r="J13" s="51" t="n">
        <x:f>IF(AND('Service Bays'!N13="OK"),IF(AND(ISNUMBER(J11),ISNUMBER('Service Bays'!$H$13),ISNUMBER('Assumptions'!$D$64),ISNUMBER(J12),ISNUMBER('Assumptions'!$D$94)),(J11*'Service Bays'!$H$13*'Assumptions'!$D$64+J12)*'Assumptions'!$D$94,"n.a."),"n.a.")</x:f>
        <x:v>186278.4</x:v>
      </x:c>
      <x:c r="K13" s="51" t="n">
        <x:f>IF(AND('Service Bays'!N14="OK"),IF(AND(ISNUMBER(K11),ISNUMBER('Service Bays'!$H$14),ISNUMBER('Assumptions'!$D$64),ISNUMBER(K12),ISNUMBER('Assumptions'!$D$94)),(K11*'Service Bays'!$H$14*'Assumptions'!$D$64+K12)*'Assumptions'!$D$94,"n.a."),"n.a.")</x:f>
        <x:v>186278.4</x:v>
      </x:c>
      <x:c r="L13" s="51" t="n">
        <x:f>IF(AND('Service Bays'!N15="OK"),IF(AND(ISNUMBER(L11),ISNUMBER('Service Bays'!$H$15),ISNUMBER('Assumptions'!$D$64),ISNUMBER(L12),ISNUMBER('Assumptions'!$D$94)),(L11*'Service Bays'!$H$15*'Assumptions'!$D$64+L12)*'Assumptions'!$D$94,"n.a."),"n.a.")</x:f>
        <x:v>186278.4</x:v>
      </x:c>
      <x:c r="M13" s="51" t="n">
        <x:f>IF(AND('Service Bays'!N16="OK"),IF(AND(ISNUMBER(M11),ISNUMBER('Service Bays'!$H$16),ISNUMBER('Assumptions'!$D$64),ISNUMBER(M12),ISNUMBER('Assumptions'!$D$94)),(M11*'Service Bays'!$H$16*'Assumptions'!$D$64+M12)*'Assumptions'!$D$94,"n.a."),"n.a.")</x:f>
        <x:v>186278.4</x:v>
      </x:c>
      <x:c r="N13" s="51" t="n">
        <x:f>IF(AND('Service Bays'!N17="OK"),IF(AND(ISNUMBER(N11),ISNUMBER('Service Bays'!$H$17),ISNUMBER('Assumptions'!$D$64),ISNUMBER(N12),ISNUMBER('Assumptions'!$D$94)),(N11*'Service Bays'!$H$17*'Assumptions'!$D$64+N12)*'Assumptions'!$D$94,"n.a."),"n.a.")</x:f>
        <x:v>186278.4</x:v>
      </x:c>
      <x:c r="O13" s="51" t="n">
        <x:f>IF(AND('Service Bays'!N18="OK"),IF(AND(ISNUMBER(O11),ISNUMBER('Service Bays'!$H$18),ISNUMBER('Assumptions'!$D$64),ISNUMBER(O12),ISNUMBER('Assumptions'!$D$94)),(O11*'Service Bays'!$H$18*'Assumptions'!$D$64+O12)*'Assumptions'!$D$94,"n.a."),"n.a.")</x:f>
        <x:v>186278.4</x:v>
      </x:c>
      <x:c r="P13" s="51" t="n">
        <x:f>IF(AND('Service Bays'!N19="OK"),IF(AND(ISNUMBER(P11),ISNUMBER('Service Bays'!$H$19),ISNUMBER('Assumptions'!$D$64),ISNUMBER(P12),ISNUMBER('Assumptions'!$D$94)),(P11*'Service Bays'!$H$19*'Assumptions'!$D$64+P12)*'Assumptions'!$D$94,"n.a."),"n.a.")</x:f>
        <x:v>186278.4</x:v>
      </x:c>
      <x:c r="Q13" s="51" t="n">
        <x:f>IF(AND('Service Bays'!N20="OK"),IF(AND(ISNUMBER(Q11),ISNUMBER('Service Bays'!$H$20),ISNUMBER('Assumptions'!$D$64),ISNUMBER(Q12),ISNUMBER('Assumptions'!$D$94)),(Q11*'Service Bays'!$H$20*'Assumptions'!$D$64+Q12)*'Assumptions'!$D$94,"n.a."),"n.a.")</x:f>
        <x:v>186278.4</x:v>
      </x:c>
      <x:c r="R13" s="51" t="n">
        <x:f>IF(AND('Service Bays'!N21="OK"),IF(AND(ISNUMBER(R11),ISNUMBER('Service Bays'!$H$21),ISNUMBER('Assumptions'!$D$64),ISNUMBER(R12),ISNUMBER('Assumptions'!$D$94)),(R11*'Service Bays'!$H$21*'Assumptions'!$D$64+R12)*'Assumptions'!$D$94,"n.a."),"n.a.")</x:f>
        <x:v>186278.4</x:v>
      </x:c>
    </x:row>
    <x:row r="14" ht="21" customHeight="1">
      <x:c r="A14" s="2"/>
      <x:c r="B14" s="2"/>
      <x:c r="C14" s="2" t="str">
        <x:v>Current-month billings collected</x:v>
      </x:c>
      <x:c r="D14" s="2" t="str">
        <x:v>USD</x:v>
      </x:c>
      <x:c r="E14" s="52" t="n">
        <x:f>IF(COUNT(G14:R14)=12,SUM(G14:R14),"n.a.")</x:f>
        <x:v>1788272.64</x:v>
      </x:c>
      <x:c r="F14" s="2"/>
      <x:c r="G14" s="51" t="n">
        <x:f>IF(AND(ISNUMBER(G13),ISNUMBER('Assumptions'!$D$88)),G13*'Assumptions'!$D$88,"n.a.")</x:f>
        <x:v>149022.72</x:v>
      </x:c>
      <x:c r="H14" s="51" t="n">
        <x:f>IF(AND(ISNUMBER(H13),ISNUMBER('Assumptions'!$D$88)),H13*'Assumptions'!$D$88,"n.a.")</x:f>
        <x:v>149022.72</x:v>
      </x:c>
      <x:c r="I14" s="51" t="n">
        <x:f>IF(AND(ISNUMBER(I13),ISNUMBER('Assumptions'!$D$88)),I13*'Assumptions'!$D$88,"n.a.")</x:f>
        <x:v>149022.72</x:v>
      </x:c>
      <x:c r="J14" s="51" t="n">
        <x:f>IF(AND(ISNUMBER(J13),ISNUMBER('Assumptions'!$D$88)),J13*'Assumptions'!$D$88,"n.a.")</x:f>
        <x:v>149022.72</x:v>
      </x:c>
      <x:c r="K14" s="51" t="n">
        <x:f>IF(AND(ISNUMBER(K13),ISNUMBER('Assumptions'!$D$88)),K13*'Assumptions'!$D$88,"n.a.")</x:f>
        <x:v>149022.72</x:v>
      </x:c>
      <x:c r="L14" s="51" t="n">
        <x:f>IF(AND(ISNUMBER(L13),ISNUMBER('Assumptions'!$D$88)),L13*'Assumptions'!$D$88,"n.a.")</x:f>
        <x:v>149022.72</x:v>
      </x:c>
      <x:c r="M14" s="51" t="n">
        <x:f>IF(AND(ISNUMBER(M13),ISNUMBER('Assumptions'!$D$88)),M13*'Assumptions'!$D$88,"n.a.")</x:f>
        <x:v>149022.72</x:v>
      </x:c>
      <x:c r="N14" s="51" t="n">
        <x:f>IF(AND(ISNUMBER(N13),ISNUMBER('Assumptions'!$D$88)),N13*'Assumptions'!$D$88,"n.a.")</x:f>
        <x:v>149022.72</x:v>
      </x:c>
      <x:c r="O14" s="51" t="n">
        <x:f>IF(AND(ISNUMBER(O13),ISNUMBER('Assumptions'!$D$88)),O13*'Assumptions'!$D$88,"n.a.")</x:f>
        <x:v>149022.72</x:v>
      </x:c>
      <x:c r="P14" s="51" t="n">
        <x:f>IF(AND(ISNUMBER(P13),ISNUMBER('Assumptions'!$D$88)),P13*'Assumptions'!$D$88,"n.a.")</x:f>
        <x:v>149022.72</x:v>
      </x:c>
      <x:c r="Q14" s="51" t="n">
        <x:f>IF(AND(ISNUMBER(Q13),ISNUMBER('Assumptions'!$D$88)),Q13*'Assumptions'!$D$88,"n.a.")</x:f>
        <x:v>149022.72</x:v>
      </x:c>
      <x:c r="R14" s="51" t="n">
        <x:f>IF(AND(ISNUMBER(R13),ISNUMBER('Assumptions'!$D$88)),R13*'Assumptions'!$D$88,"n.a.")</x:f>
        <x:v>149022.72</x:v>
      </x:c>
    </x:row>
    <x:row r="15" ht="21" customHeight="1">
      <x:c r="A15" s="2"/>
      <x:c r="B15" s="2"/>
      <x:c r="C15" s="2" t="str">
        <x:v>Prior receivables collected</x:v>
      </x:c>
      <x:c r="D15" s="2" t="str">
        <x:v>USD</x:v>
      </x:c>
      <x:c r="E15" s="52" t="n">
        <x:f>IF(COUNT(G15:R15)=12,SUM(G15:R15),"n.a.")</x:f>
        <x:v>454812.4799999999</x:v>
      </x:c>
      <x:c r="F15" s="2"/>
      <x:c r="G15" s="51" t="n">
        <x:f>IF(AND(ISNUMBER('Assumptions'!$D$91)),'Assumptions'!$D$91,"n.a.")</x:f>
        <x:v>45000</x:v>
      </x:c>
      <x:c r="H15" s="51" t="n">
        <x:f>IF(AND(ISNUMBER(G16)),G16,"n.a.")</x:f>
        <x:v>37255.67999999999</x:v>
      </x:c>
      <x:c r="I15" s="51" t="n">
        <x:f>IF(AND(ISNUMBER(H16)),H16,"n.a.")</x:f>
        <x:v>37255.67999999999</x:v>
      </x:c>
      <x:c r="J15" s="51" t="n">
        <x:f>IF(AND(ISNUMBER(I16)),I16,"n.a.")</x:f>
        <x:v>37255.67999999999</x:v>
      </x:c>
      <x:c r="K15" s="51" t="n">
        <x:f>IF(AND(ISNUMBER(J16)),J16,"n.a.")</x:f>
        <x:v>37255.67999999999</x:v>
      </x:c>
      <x:c r="L15" s="51" t="n">
        <x:f>IF(AND(ISNUMBER(K16)),K16,"n.a.")</x:f>
        <x:v>37255.67999999999</x:v>
      </x:c>
      <x:c r="M15" s="51" t="n">
        <x:f>IF(AND(ISNUMBER(L16)),L16,"n.a.")</x:f>
        <x:v>37255.67999999999</x:v>
      </x:c>
      <x:c r="N15" s="51" t="n">
        <x:f>IF(AND(ISNUMBER(M16)),M16,"n.a.")</x:f>
        <x:v>37255.67999999999</x:v>
      </x:c>
      <x:c r="O15" s="51" t="n">
        <x:f>IF(AND(ISNUMBER(N16)),N16,"n.a.")</x:f>
        <x:v>37255.67999999999</x:v>
      </x:c>
      <x:c r="P15" s="51" t="n">
        <x:f>IF(AND(ISNUMBER(O16)),O16,"n.a.")</x:f>
        <x:v>37255.67999999999</x:v>
      </x:c>
      <x:c r="Q15" s="51" t="n">
        <x:f>IF(AND(ISNUMBER(P16)),P16,"n.a.")</x:f>
        <x:v>37255.67999999999</x:v>
      </x:c>
      <x:c r="R15" s="51" t="n">
        <x:f>IF(AND(ISNUMBER(Q16)),Q16,"n.a.")</x:f>
        <x:v>37255.67999999999</x:v>
      </x:c>
    </x:row>
    <x:row r="16" ht="21" customHeight="1">
      <x:c r="A16" s="2"/>
      <x:c r="B16" s="2"/>
      <x:c r="C16" s="2" t="str">
        <x:v>Ending collectible receivables</x:v>
      </x:c>
      <x:c r="D16" s="2" t="str">
        <x:v>USD end</x:v>
      </x:c>
      <x:c r="E16" s="52" t="n">
        <x:f>IF(ISNUMBER(R16),R16,"n.a.")</x:f>
        <x:v>37255.67999999999</x:v>
      </x:c>
      <x:c r="F16" s="2"/>
      <x:c r="G16" s="51" t="n">
        <x:f>IF(AND(ISNUMBER(G13),ISNUMBER('Assumptions'!$D$88)),G13*(1-'Assumptions'!$D$88),"n.a.")</x:f>
        <x:v>37255.67999999999</x:v>
      </x:c>
      <x:c r="H16" s="51" t="n">
        <x:f>IF(AND(ISNUMBER(H13),ISNUMBER('Assumptions'!$D$88)),H13*(1-'Assumptions'!$D$88),"n.a.")</x:f>
        <x:v>37255.67999999999</x:v>
      </x:c>
      <x:c r="I16" s="51" t="n">
        <x:f>IF(AND(ISNUMBER(I13),ISNUMBER('Assumptions'!$D$88)),I13*(1-'Assumptions'!$D$88),"n.a.")</x:f>
        <x:v>37255.67999999999</x:v>
      </x:c>
      <x:c r="J16" s="51" t="n">
        <x:f>IF(AND(ISNUMBER(J13),ISNUMBER('Assumptions'!$D$88)),J13*(1-'Assumptions'!$D$88),"n.a.")</x:f>
        <x:v>37255.67999999999</x:v>
      </x:c>
      <x:c r="K16" s="51" t="n">
        <x:f>IF(AND(ISNUMBER(K13),ISNUMBER('Assumptions'!$D$88)),K13*(1-'Assumptions'!$D$88),"n.a.")</x:f>
        <x:v>37255.67999999999</x:v>
      </x:c>
      <x:c r="L16" s="51" t="n">
        <x:f>IF(AND(ISNUMBER(L13),ISNUMBER('Assumptions'!$D$88)),L13*(1-'Assumptions'!$D$88),"n.a.")</x:f>
        <x:v>37255.67999999999</x:v>
      </x:c>
      <x:c r="M16" s="51" t="n">
        <x:f>IF(AND(ISNUMBER(M13),ISNUMBER('Assumptions'!$D$88)),M13*(1-'Assumptions'!$D$88),"n.a.")</x:f>
        <x:v>37255.67999999999</x:v>
      </x:c>
      <x:c r="N16" s="51" t="n">
        <x:f>IF(AND(ISNUMBER(N13),ISNUMBER('Assumptions'!$D$88)),N13*(1-'Assumptions'!$D$88),"n.a.")</x:f>
        <x:v>37255.67999999999</x:v>
      </x:c>
      <x:c r="O16" s="51" t="n">
        <x:f>IF(AND(ISNUMBER(O13),ISNUMBER('Assumptions'!$D$88)),O13*(1-'Assumptions'!$D$88),"n.a.")</x:f>
        <x:v>37255.67999999999</x:v>
      </x:c>
      <x:c r="P16" s="51" t="n">
        <x:f>IF(AND(ISNUMBER(P13),ISNUMBER('Assumptions'!$D$88)),P13*(1-'Assumptions'!$D$88),"n.a.")</x:f>
        <x:v>37255.67999999999</x:v>
      </x:c>
      <x:c r="Q16" s="51" t="n">
        <x:f>IF(AND(ISNUMBER(Q13),ISNUMBER('Assumptions'!$D$88)),Q13*(1-'Assumptions'!$D$88),"n.a.")</x:f>
        <x:v>37255.67999999999</x:v>
      </x:c>
      <x:c r="R16" s="51" t="n">
        <x:f>IF(AND(ISNUMBER(R13),ISNUMBER('Assumptions'!$D$88)),R13*(1-'Assumptions'!$D$88),"n.a.")</x:f>
        <x:v>37255.67999999999</x:v>
      </x:c>
    </x:row>
    <x:row r="17" ht="21" customHeight="1">
      <x:c r="A17" s="2"/>
      <x:c r="B17" s="2"/>
      <x:c r="C17" s="2" t="str">
        <x:v>Cash collections</x:v>
      </x:c>
      <x:c r="D17" s="2" t="str">
        <x:v>USD</x:v>
      </x:c>
      <x:c r="E17" s="52" t="n">
        <x:f>IF(COUNT(G17:R17)=12,SUM(G17:R17),"n.a.")</x:f>
        <x:v>2243085.1199999996</x:v>
      </x:c>
      <x:c r="F17" s="2"/>
      <x:c r="G17" s="52" t="n">
        <x:f>IF(AND(ISNUMBER(G14),ISNUMBER(G15)),G14+G15,"n.a.")</x:f>
        <x:v>194022.72</x:v>
      </x:c>
      <x:c r="H17" s="52" t="n">
        <x:f>IF(AND(ISNUMBER(H14),ISNUMBER(H15)),H14+H15,"n.a.")</x:f>
        <x:v>186278.4</x:v>
      </x:c>
      <x:c r="I17" s="52" t="n">
        <x:f>IF(AND(ISNUMBER(I14),ISNUMBER(I15)),I14+I15,"n.a.")</x:f>
        <x:v>186278.4</x:v>
      </x:c>
      <x:c r="J17" s="52" t="n">
        <x:f>IF(AND(ISNUMBER(J14),ISNUMBER(J15)),J14+J15,"n.a.")</x:f>
        <x:v>186278.4</x:v>
      </x:c>
      <x:c r="K17" s="52" t="n">
        <x:f>IF(AND(ISNUMBER(K14),ISNUMBER(K15)),K14+K15,"n.a.")</x:f>
        <x:v>186278.4</x:v>
      </x:c>
      <x:c r="L17" s="52" t="n">
        <x:f>IF(AND(ISNUMBER(L14),ISNUMBER(L15)),L14+L15,"n.a.")</x:f>
        <x:v>186278.4</x:v>
      </x:c>
      <x:c r="M17" s="52" t="n">
        <x:f>IF(AND(ISNUMBER(M14),ISNUMBER(M15)),M14+M15,"n.a.")</x:f>
        <x:v>186278.4</x:v>
      </x:c>
      <x:c r="N17" s="52" t="n">
        <x:f>IF(AND(ISNUMBER(N14),ISNUMBER(N15)),N14+N15,"n.a.")</x:f>
        <x:v>186278.4</x:v>
      </x:c>
      <x:c r="O17" s="52" t="n">
        <x:f>IF(AND(ISNUMBER(O14),ISNUMBER(O15)),O14+O15,"n.a.")</x:f>
        <x:v>186278.4</x:v>
      </x:c>
      <x:c r="P17" s="52" t="n">
        <x:f>IF(AND(ISNUMBER(P14),ISNUMBER(P15)),P14+P15,"n.a.")</x:f>
        <x:v>186278.4</x:v>
      </x:c>
      <x:c r="Q17" s="52" t="n">
        <x:f>IF(AND(ISNUMBER(Q14),ISNUMBER(Q15)),Q14+Q15,"n.a.")</x:f>
        <x:v>186278.4</x:v>
      </x:c>
      <x:c r="R17" s="52" t="n">
        <x:f>IF(AND(ISNUMBER(R14),ISNUMBER(R15)),R14+R15,"n.a.")</x:f>
        <x:v>186278.4</x:v>
      </x:c>
    </x:row>
    <x:row r="18" ht="21" customHeight="1">
      <x:c r="A18" s="2"/>
      <x:c r="B18" s="2"/>
      <x:c r="C18" s="2" t="str">
        <x:v>Parts, technicians and business costs</x:v>
      </x:c>
      <x:c r="D18" s="2" t="str">
        <x:v>USD</x:v>
      </x:c>
      <x:c r="E18" s="52" t="n">
        <x:f>IF(COUNT(G18:R18)=12,SUM(G18:R18),"n.a.")</x:f>
        <x:v>1342752</x:v>
      </x:c>
      <x:c r="F18" s="2"/>
      <x:c r="G18" s="51" t="n">
        <x:f>IF(AND('Service Bays'!N10="OK"),IF(AND(ISNUMBER(G12),ISNUMBER('Service Bays'!$J$10),ISNUMBER('Service Bays'!$K$10),ISNUMBER('Service Bays'!$L$10),ISNUMBER('Assumptions'!$D$67)),(G12*'Service Bays'!$J$10+'Service Bays'!$K$10+'Service Bays'!$L$10)*'Assumptions'!$D$67,"n.a."),"n.a.")</x:f>
        <x:v>111896</x:v>
      </x:c>
      <x:c r="H18" s="51" t="n">
        <x:f>IF(AND('Service Bays'!N11="OK"),IF(AND(ISNUMBER(H12),ISNUMBER('Service Bays'!$J$11),ISNUMBER('Service Bays'!$K$11),ISNUMBER('Service Bays'!$L$11),ISNUMBER('Assumptions'!$D$67)),(H12*'Service Bays'!$J$11+'Service Bays'!$K$11+'Service Bays'!$L$11)*'Assumptions'!$D$67,"n.a."),"n.a.")</x:f>
        <x:v>111896</x:v>
      </x:c>
      <x:c r="I18" s="51" t="n">
        <x:f>IF(AND('Service Bays'!N12="OK"),IF(AND(ISNUMBER(I12),ISNUMBER('Service Bays'!$J$12),ISNUMBER('Service Bays'!$K$12),ISNUMBER('Service Bays'!$L$12),ISNUMBER('Assumptions'!$D$67)),(I12*'Service Bays'!$J$12+'Service Bays'!$K$12+'Service Bays'!$L$12)*'Assumptions'!$D$67,"n.a."),"n.a.")</x:f>
        <x:v>111896</x:v>
      </x:c>
      <x:c r="J18" s="51" t="n">
        <x:f>IF(AND('Service Bays'!N13="OK"),IF(AND(ISNUMBER(J12),ISNUMBER('Service Bays'!$J$13),ISNUMBER('Service Bays'!$K$13),ISNUMBER('Service Bays'!$L$13),ISNUMBER('Assumptions'!$D$67)),(J12*'Service Bays'!$J$13+'Service Bays'!$K$13+'Service Bays'!$L$13)*'Assumptions'!$D$67,"n.a."),"n.a.")</x:f>
        <x:v>111896</x:v>
      </x:c>
      <x:c r="K18" s="51" t="n">
        <x:f>IF(AND('Service Bays'!N14="OK"),IF(AND(ISNUMBER(K12),ISNUMBER('Service Bays'!$J$14),ISNUMBER('Service Bays'!$K$14),ISNUMBER('Service Bays'!$L$14),ISNUMBER('Assumptions'!$D$67)),(K12*'Service Bays'!$J$14+'Service Bays'!$K$14+'Service Bays'!$L$14)*'Assumptions'!$D$67,"n.a."),"n.a.")</x:f>
        <x:v>111896</x:v>
      </x:c>
      <x:c r="L18" s="51" t="n">
        <x:f>IF(AND('Service Bays'!N15="OK"),IF(AND(ISNUMBER(L12),ISNUMBER('Service Bays'!$J$15),ISNUMBER('Service Bays'!$K$15),ISNUMBER('Service Bays'!$L$15),ISNUMBER('Assumptions'!$D$67)),(L12*'Service Bays'!$J$15+'Service Bays'!$K$15+'Service Bays'!$L$15)*'Assumptions'!$D$67,"n.a."),"n.a.")</x:f>
        <x:v>111896</x:v>
      </x:c>
      <x:c r="M18" s="51" t="n">
        <x:f>IF(AND('Service Bays'!N16="OK"),IF(AND(ISNUMBER(M12),ISNUMBER('Service Bays'!$J$16),ISNUMBER('Service Bays'!$K$16),ISNUMBER('Service Bays'!$L$16),ISNUMBER('Assumptions'!$D$67)),(M12*'Service Bays'!$J$16+'Service Bays'!$K$16+'Service Bays'!$L$16)*'Assumptions'!$D$67,"n.a."),"n.a.")</x:f>
        <x:v>111896</x:v>
      </x:c>
      <x:c r="N18" s="51" t="n">
        <x:f>IF(AND('Service Bays'!N17="OK"),IF(AND(ISNUMBER(N12),ISNUMBER('Service Bays'!$J$17),ISNUMBER('Service Bays'!$K$17),ISNUMBER('Service Bays'!$L$17),ISNUMBER('Assumptions'!$D$67)),(N12*'Service Bays'!$J$17+'Service Bays'!$K$17+'Service Bays'!$L$17)*'Assumptions'!$D$67,"n.a."),"n.a.")</x:f>
        <x:v>111896</x:v>
      </x:c>
      <x:c r="O18" s="51" t="n">
        <x:f>IF(AND('Service Bays'!N18="OK"),IF(AND(ISNUMBER(O12),ISNUMBER('Service Bays'!$J$18),ISNUMBER('Service Bays'!$K$18),ISNUMBER('Service Bays'!$L$18),ISNUMBER('Assumptions'!$D$67)),(O12*'Service Bays'!$J$18+'Service Bays'!$K$18+'Service Bays'!$L$18)*'Assumptions'!$D$67,"n.a."),"n.a.")</x:f>
        <x:v>111896</x:v>
      </x:c>
      <x:c r="P18" s="51" t="n">
        <x:f>IF(AND('Service Bays'!N19="OK"),IF(AND(ISNUMBER(P12),ISNUMBER('Service Bays'!$J$19),ISNUMBER('Service Bays'!$K$19),ISNUMBER('Service Bays'!$L$19),ISNUMBER('Assumptions'!$D$67)),(P12*'Service Bays'!$J$19+'Service Bays'!$K$19+'Service Bays'!$L$19)*'Assumptions'!$D$67,"n.a."),"n.a.")</x:f>
        <x:v>111896</x:v>
      </x:c>
      <x:c r="Q18" s="51" t="n">
        <x:f>IF(AND('Service Bays'!N20="OK"),IF(AND(ISNUMBER(Q12),ISNUMBER('Service Bays'!$J$20),ISNUMBER('Service Bays'!$K$20),ISNUMBER('Service Bays'!$L$20),ISNUMBER('Assumptions'!$D$67)),(Q12*'Service Bays'!$J$20+'Service Bays'!$K$20+'Service Bays'!$L$20)*'Assumptions'!$D$67,"n.a."),"n.a.")</x:f>
        <x:v>111896</x:v>
      </x:c>
      <x:c r="R18" s="51" t="n">
        <x:f>IF(AND('Service Bays'!N21="OK"),IF(AND(ISNUMBER(R12),ISNUMBER('Service Bays'!$J$21),ISNUMBER('Service Bays'!$K$21),ISNUMBER('Service Bays'!$L$21),ISNUMBER('Assumptions'!$D$67)),(R12*'Service Bays'!$J$21+'Service Bays'!$K$21+'Service Bays'!$L$21)*'Assumptions'!$D$67,"n.a."),"n.a.")</x:f>
        <x:v>111896</x:v>
      </x:c>
    </x:row>
    <x:row r="19" ht="21" customHeight="1">
      <x:c r="A19" s="2"/>
      <x:c r="B19" s="2"/>
      <x:c r="C19" s="2" t="str">
        <x:v>Related rent eliminated in combined cash</x:v>
      </x:c>
      <x:c r="D19" s="2" t="str">
        <x:v>USD</x:v>
      </x:c>
      <x:c r="E19" s="52" t="n">
        <x:f>IF(COUNT(G19:R19)=12,SUM(G19:R19),"n.a.")</x:f>
        <x:v>144000</x:v>
      </x:c>
      <x:c r="F19" s="2"/>
      <x:c r="G19" s="51" t="n">
        <x:f>IF(AND(ISNUMBER('Assumptions'!$D$73)),'Assumptions'!$D$73,"n.a.")</x:f>
        <x:v>12000</x:v>
      </x:c>
      <x:c r="H19" s="51" t="n">
        <x:f>IF(AND(ISNUMBER('Assumptions'!$D$73)),'Assumptions'!$D$73,"n.a.")</x:f>
        <x:v>12000</x:v>
      </x:c>
      <x:c r="I19" s="51" t="n">
        <x:f>IF(AND(ISNUMBER('Assumptions'!$D$73)),'Assumptions'!$D$73,"n.a.")</x:f>
        <x:v>12000</x:v>
      </x:c>
      <x:c r="J19" s="51" t="n">
        <x:f>IF(AND(ISNUMBER('Assumptions'!$D$73)),'Assumptions'!$D$73,"n.a.")</x:f>
        <x:v>12000</x:v>
      </x:c>
      <x:c r="K19" s="51" t="n">
        <x:f>IF(AND(ISNUMBER('Assumptions'!$D$73)),'Assumptions'!$D$73,"n.a.")</x:f>
        <x:v>12000</x:v>
      </x:c>
      <x:c r="L19" s="51" t="n">
        <x:f>IF(AND(ISNUMBER('Assumptions'!$D$73)),'Assumptions'!$D$73,"n.a.")</x:f>
        <x:v>12000</x:v>
      </x:c>
      <x:c r="M19" s="51" t="n">
        <x:f>IF(AND(ISNUMBER('Assumptions'!$D$73)),'Assumptions'!$D$73,"n.a.")</x:f>
        <x:v>12000</x:v>
      </x:c>
      <x:c r="N19" s="51" t="n">
        <x:f>IF(AND(ISNUMBER('Assumptions'!$D$73)),'Assumptions'!$D$73,"n.a.")</x:f>
        <x:v>12000</x:v>
      </x:c>
      <x:c r="O19" s="51" t="n">
        <x:f>IF(AND(ISNUMBER('Assumptions'!$D$73)),'Assumptions'!$D$73,"n.a.")</x:f>
        <x:v>12000</x:v>
      </x:c>
      <x:c r="P19" s="51" t="n">
        <x:f>IF(AND(ISNUMBER('Assumptions'!$D$73)),'Assumptions'!$D$73,"n.a.")</x:f>
        <x:v>12000</x:v>
      </x:c>
      <x:c r="Q19" s="51" t="n">
        <x:f>IF(AND(ISNUMBER('Assumptions'!$D$73)),'Assumptions'!$D$73,"n.a.")</x:f>
        <x:v>12000</x:v>
      </x:c>
      <x:c r="R19" s="51" t="n">
        <x:f>IF(AND(ISNUMBER('Assumptions'!$D$73)),'Assumptions'!$D$73,"n.a.")</x:f>
        <x:v>12000</x:v>
      </x:c>
    </x:row>
    <x:row r="20" ht="21" customHeight="1">
      <x:c r="A20" s="2"/>
      <x:c r="B20" s="2"/>
      <x:c r="C20" s="2" t="str">
        <x:v>Business receipts less related rent</x:v>
      </x:c>
      <x:c r="D20" s="2" t="str">
        <x:v>USD</x:v>
      </x:c>
      <x:c r="E20" s="52" t="n">
        <x:f>IF(COUNT(G20:R20)=12,SUM(G20:R20),"n.a.")</x:f>
        <x:v>2099085.1199999996</x:v>
      </x:c>
      <x:c r="F20" s="2"/>
      <x:c r="G20" s="52" t="n">
        <x:f>IF(AND(ISNUMBER(G17),ISNUMBER(G19)),G17-G19,"n.a.")</x:f>
        <x:v>182022.72</x:v>
      </x:c>
      <x:c r="H20" s="52" t="n">
        <x:f>IF(AND(ISNUMBER(H17),ISNUMBER(H19)),H17-H19,"n.a.")</x:f>
        <x:v>174278.4</x:v>
      </x:c>
      <x:c r="I20" s="52" t="n">
        <x:f>IF(AND(ISNUMBER(I17),ISNUMBER(I19)),I17-I19,"n.a.")</x:f>
        <x:v>174278.4</x:v>
      </x:c>
      <x:c r="J20" s="52" t="n">
        <x:f>IF(AND(ISNUMBER(J17),ISNUMBER(J19)),J17-J19,"n.a.")</x:f>
        <x:v>174278.4</x:v>
      </x:c>
      <x:c r="K20" s="52" t="n">
        <x:f>IF(AND(ISNUMBER(K17),ISNUMBER(K19)),K17-K19,"n.a.")</x:f>
        <x:v>174278.4</x:v>
      </x:c>
      <x:c r="L20" s="52" t="n">
        <x:f>IF(AND(ISNUMBER(L17),ISNUMBER(L19)),L17-L19,"n.a.")</x:f>
        <x:v>174278.4</x:v>
      </x:c>
      <x:c r="M20" s="52" t="n">
        <x:f>IF(AND(ISNUMBER(M17),ISNUMBER(M19)),M17-M19,"n.a.")</x:f>
        <x:v>174278.4</x:v>
      </x:c>
      <x:c r="N20" s="52" t="n">
        <x:f>IF(AND(ISNUMBER(N17),ISNUMBER(N19)),N17-N19,"n.a.")</x:f>
        <x:v>174278.4</x:v>
      </x:c>
      <x:c r="O20" s="52" t="n">
        <x:f>IF(AND(ISNUMBER(O17),ISNUMBER(O19)),O17-O19,"n.a.")</x:f>
        <x:v>174278.4</x:v>
      </x:c>
      <x:c r="P20" s="52" t="n">
        <x:f>IF(AND(ISNUMBER(P17),ISNUMBER(P19)),P17-P19,"n.a.")</x:f>
        <x:v>174278.4</x:v>
      </x:c>
      <x:c r="Q20" s="52" t="n">
        <x:f>IF(AND(ISNUMBER(Q17),ISNUMBER(Q19)),Q17-Q19,"n.a.")</x:f>
        <x:v>174278.4</x:v>
      </x:c>
      <x:c r="R20" s="52" t="n">
        <x:f>IF(AND(ISNUMBER(R17),ISNUMBER(R19)),R17-R19,"n.a.")</x:f>
        <x:v>174278.4</x:v>
      </x:c>
    </x:row>
    <x:row r="21" ht="21" customHeight="1">
      <x:c r="A21" s="2"/>
      <x:c r="B21" s="2"/>
      <x:c r="C21" s="56" t="str">
        <x:v>Combined receipts before outside obligations</x:v>
      </x:c>
      <x:c r="D21" s="56" t="str">
        <x:v>USD</x:v>
      </x:c>
      <x:c r="E21" s="57" t="n">
        <x:f>IF(COUNT(G21:R21)=12,SUM(G21:R21),"n.a.")</x:f>
        <x:v>2243085.1199999996</x:v>
      </x:c>
      <x:c r="F21" s="56"/>
      <x:c r="G21" s="57" t="n">
        <x:f>IF(AND(ISNUMBER(G20),ISNUMBER(G19)),G20+G19,"n.a.")</x:f>
        <x:v>194022.72</x:v>
      </x:c>
      <x:c r="H21" s="57" t="n">
        <x:f>IF(AND(ISNUMBER(H20),ISNUMBER(H19)),H20+H19,"n.a.")</x:f>
        <x:v>186278.4</x:v>
      </x:c>
      <x:c r="I21" s="57" t="n">
        <x:f>IF(AND(ISNUMBER(I20),ISNUMBER(I19)),I20+I19,"n.a.")</x:f>
        <x:v>186278.4</x:v>
      </x:c>
      <x:c r="J21" s="57" t="n">
        <x:f>IF(AND(ISNUMBER(J20),ISNUMBER(J19)),J20+J19,"n.a.")</x:f>
        <x:v>186278.4</x:v>
      </x:c>
      <x:c r="K21" s="57" t="n">
        <x:f>IF(AND(ISNUMBER(K20),ISNUMBER(K19)),K20+K19,"n.a.")</x:f>
        <x:v>186278.4</x:v>
      </x:c>
      <x:c r="L21" s="57" t="n">
        <x:f>IF(AND(ISNUMBER(L20),ISNUMBER(L19)),L20+L19,"n.a.")</x:f>
        <x:v>186278.4</x:v>
      </x:c>
      <x:c r="M21" s="57" t="n">
        <x:f>IF(AND(ISNUMBER(M20),ISNUMBER(M19)),M20+M19,"n.a.")</x:f>
        <x:v>186278.4</x:v>
      </x:c>
      <x:c r="N21" s="57" t="n">
        <x:f>IF(AND(ISNUMBER(N20),ISNUMBER(N19)),N20+N19,"n.a.")</x:f>
        <x:v>186278.4</x:v>
      </x:c>
      <x:c r="O21" s="57" t="n">
        <x:f>IF(AND(ISNUMBER(O20),ISNUMBER(O19)),O20+O19,"n.a.")</x:f>
        <x:v>186278.4</x:v>
      </x:c>
      <x:c r="P21" s="57" t="n">
        <x:f>IF(AND(ISNUMBER(P20),ISNUMBER(P19)),P20+P19,"n.a.")</x:f>
        <x:v>186278.4</x:v>
      </x:c>
      <x:c r="Q21" s="57" t="n">
        <x:f>IF(AND(ISNUMBER(Q20),ISNUMBER(Q19)),Q20+Q19,"n.a.")</x:f>
        <x:v>186278.4</x:v>
      </x:c>
      <x:c r="R21" s="57" t="n">
        <x:f>IF(AND(ISNUMBER(R20),ISNUMBER(R19)),R20+R19,"n.a.")</x:f>
        <x:v>186278.4</x:v>
      </x:c>
    </x:row>
    <x:row r="22" ht="21" customHeight="1">
      <x:c r="A22" s="2"/>
      <x:c r="B22" s="2"/>
      <x:c r="C22" s="2" t="str">
        <x:v>External property cash costs</x:v>
      </x:c>
      <x:c r="D22" s="2" t="str">
        <x:v>USD</x:v>
      </x:c>
      <x:c r="E22" s="52" t="n">
        <x:f>IF(COUNT(G22:R22)=12,SUM(G22:R22),"n.a.")</x:f>
        <x:v>72000</x:v>
      </x:c>
      <x:c r="F22" s="2"/>
      <x:c r="G22" s="51" t="n">
        <x:f>IF(AND(ISNUMBER('Assumptions'!$D$76),ISNUMBER('Assumptions'!$D$67)),'Assumptions'!$D$76*'Assumptions'!$D$67,"n.a.")</x:f>
        <x:v>6000</x:v>
      </x:c>
      <x:c r="H22" s="51" t="n">
        <x:f>IF(AND(ISNUMBER('Assumptions'!$D$76),ISNUMBER('Assumptions'!$D$67)),'Assumptions'!$D$76*'Assumptions'!$D$67,"n.a.")</x:f>
        <x:v>6000</x:v>
      </x:c>
      <x:c r="I22" s="51" t="n">
        <x:f>IF(AND(ISNUMBER('Assumptions'!$D$76),ISNUMBER('Assumptions'!$D$67)),'Assumptions'!$D$76*'Assumptions'!$D$67,"n.a.")</x:f>
        <x:v>6000</x:v>
      </x:c>
      <x:c r="J22" s="51" t="n">
        <x:f>IF(AND(ISNUMBER('Assumptions'!$D$76),ISNUMBER('Assumptions'!$D$67)),'Assumptions'!$D$76*'Assumptions'!$D$67,"n.a.")</x:f>
        <x:v>6000</x:v>
      </x:c>
      <x:c r="K22" s="51" t="n">
        <x:f>IF(AND(ISNUMBER('Assumptions'!$D$76),ISNUMBER('Assumptions'!$D$67)),'Assumptions'!$D$76*'Assumptions'!$D$67,"n.a.")</x:f>
        <x:v>6000</x:v>
      </x:c>
      <x:c r="L22" s="51" t="n">
        <x:f>IF(AND(ISNUMBER('Assumptions'!$D$76),ISNUMBER('Assumptions'!$D$67)),'Assumptions'!$D$76*'Assumptions'!$D$67,"n.a.")</x:f>
        <x:v>6000</x:v>
      </x:c>
      <x:c r="M22" s="51" t="n">
        <x:f>IF(AND(ISNUMBER('Assumptions'!$D$76),ISNUMBER('Assumptions'!$D$67)),'Assumptions'!$D$76*'Assumptions'!$D$67,"n.a.")</x:f>
        <x:v>6000</x:v>
      </x:c>
      <x:c r="N22" s="51" t="n">
        <x:f>IF(AND(ISNUMBER('Assumptions'!$D$76),ISNUMBER('Assumptions'!$D$67)),'Assumptions'!$D$76*'Assumptions'!$D$67,"n.a.")</x:f>
        <x:v>6000</x:v>
      </x:c>
      <x:c r="O22" s="51" t="n">
        <x:f>IF(AND(ISNUMBER('Assumptions'!$D$76),ISNUMBER('Assumptions'!$D$67)),'Assumptions'!$D$76*'Assumptions'!$D$67,"n.a.")</x:f>
        <x:v>6000</x:v>
      </x:c>
      <x:c r="P22" s="51" t="n">
        <x:f>IF(AND(ISNUMBER('Assumptions'!$D$76),ISNUMBER('Assumptions'!$D$67)),'Assumptions'!$D$76*'Assumptions'!$D$67,"n.a.")</x:f>
        <x:v>6000</x:v>
      </x:c>
      <x:c r="Q22" s="51" t="n">
        <x:f>IF(AND(ISNUMBER('Assumptions'!$D$76),ISNUMBER('Assumptions'!$D$67)),'Assumptions'!$D$76*'Assumptions'!$D$67,"n.a.")</x:f>
        <x:v>6000</x:v>
      </x:c>
      <x:c r="R22" s="51" t="n">
        <x:f>IF(AND(ISNUMBER('Assumptions'!$D$76),ISNUMBER('Assumptions'!$D$67)),'Assumptions'!$D$76*'Assumptions'!$D$67,"n.a.")</x:f>
        <x:v>6000</x:v>
      </x:c>
    </x:row>
    <x:row r="23" ht="21" customHeight="1">
      <x:c r="A23" s="2"/>
      <x:c r="B23" s="2"/>
      <x:c r="C23" s="2" t="str">
        <x:v>Other business debt service</x:v>
      </x:c>
      <x:c r="D23" s="2" t="str">
        <x:v>USD</x:v>
      </x:c>
      <x:c r="E23" s="52" t="n">
        <x:f>IF(COUNT(G23:R23)=12,SUM(G23:R23),"n.a.")</x:f>
        <x:v>72000</x:v>
      </x:c>
      <x:c r="F23" s="2"/>
      <x:c r="G23" s="51" t="n">
        <x:f>IF(AND(ISNUMBER('Assumptions'!$D$79)),'Assumptions'!$D$79,"n.a.")</x:f>
        <x:v>6000</x:v>
      </x:c>
      <x:c r="H23" s="51" t="n">
        <x:f>IF(AND(ISNUMBER('Assumptions'!$D$79)),'Assumptions'!$D$79,"n.a.")</x:f>
        <x:v>6000</x:v>
      </x:c>
      <x:c r="I23" s="51" t="n">
        <x:f>IF(AND(ISNUMBER('Assumptions'!$D$79)),'Assumptions'!$D$79,"n.a.")</x:f>
        <x:v>6000</x:v>
      </x:c>
      <x:c r="J23" s="51" t="n">
        <x:f>IF(AND(ISNUMBER('Assumptions'!$D$79)),'Assumptions'!$D$79,"n.a.")</x:f>
        <x:v>6000</x:v>
      </x:c>
      <x:c r="K23" s="51" t="n">
        <x:f>IF(AND(ISNUMBER('Assumptions'!$D$79)),'Assumptions'!$D$79,"n.a.")</x:f>
        <x:v>6000</x:v>
      </x:c>
      <x:c r="L23" s="51" t="n">
        <x:f>IF(AND(ISNUMBER('Assumptions'!$D$79)),'Assumptions'!$D$79,"n.a.")</x:f>
        <x:v>6000</x:v>
      </x:c>
      <x:c r="M23" s="51" t="n">
        <x:f>IF(AND(ISNUMBER('Assumptions'!$D$79)),'Assumptions'!$D$79,"n.a.")</x:f>
        <x:v>6000</x:v>
      </x:c>
      <x:c r="N23" s="51" t="n">
        <x:f>IF(AND(ISNUMBER('Assumptions'!$D$79)),'Assumptions'!$D$79,"n.a.")</x:f>
        <x:v>6000</x:v>
      </x:c>
      <x:c r="O23" s="51" t="n">
        <x:f>IF(AND(ISNUMBER('Assumptions'!$D$79)),'Assumptions'!$D$79,"n.a.")</x:f>
        <x:v>6000</x:v>
      </x:c>
      <x:c r="P23" s="51" t="n">
        <x:f>IF(AND(ISNUMBER('Assumptions'!$D$79)),'Assumptions'!$D$79,"n.a.")</x:f>
        <x:v>6000</x:v>
      </x:c>
      <x:c r="Q23" s="51" t="n">
        <x:f>IF(AND(ISNUMBER('Assumptions'!$D$79)),'Assumptions'!$D$79,"n.a.")</x:f>
        <x:v>6000</x:v>
      </x:c>
      <x:c r="R23" s="51" t="n">
        <x:f>IF(AND(ISNUMBER('Assumptions'!$D$79)),'Assumptions'!$D$79,"n.a.")</x:f>
        <x:v>6000</x:v>
      </x:c>
    </x:row>
    <x:row r="24" ht="21" customHeight="1">
      <x:c r="A24" s="2"/>
      <x:c r="B24" s="2"/>
      <x:c r="C24" s="2" t="str">
        <x:v>Cash taxes and distributions</x:v>
      </x:c>
      <x:c r="D24" s="2" t="str">
        <x:v>USD</x:v>
      </x:c>
      <x:c r="E24" s="52" t="n">
        <x:f>IF(COUNT(G24:R24)=12,SUM(G24:R24),"n.a.")</x:f>
        <x:v>36000</x:v>
      </x:c>
      <x:c r="F24" s="2"/>
      <x:c r="G24" s="51" t="n">
        <x:f>IF(AND(ISNUMBER('Assumptions'!$D$82)),'Assumptions'!$D$82,"n.a.")</x:f>
        <x:v>3000</x:v>
      </x:c>
      <x:c r="H24" s="51" t="n">
        <x:f>IF(AND(ISNUMBER('Assumptions'!$D$82)),'Assumptions'!$D$82,"n.a.")</x:f>
        <x:v>3000</x:v>
      </x:c>
      <x:c r="I24" s="51" t="n">
        <x:f>IF(AND(ISNUMBER('Assumptions'!$D$82)),'Assumptions'!$D$82,"n.a.")</x:f>
        <x:v>3000</x:v>
      </x:c>
      <x:c r="J24" s="51" t="n">
        <x:f>IF(AND(ISNUMBER('Assumptions'!$D$82)),'Assumptions'!$D$82,"n.a.")</x:f>
        <x:v>3000</x:v>
      </x:c>
      <x:c r="K24" s="51" t="n">
        <x:f>IF(AND(ISNUMBER('Assumptions'!$D$82)),'Assumptions'!$D$82,"n.a.")</x:f>
        <x:v>3000</x:v>
      </x:c>
      <x:c r="L24" s="51" t="n">
        <x:f>IF(AND(ISNUMBER('Assumptions'!$D$82)),'Assumptions'!$D$82,"n.a.")</x:f>
        <x:v>3000</x:v>
      </x:c>
      <x:c r="M24" s="51" t="n">
        <x:f>IF(AND(ISNUMBER('Assumptions'!$D$82)),'Assumptions'!$D$82,"n.a.")</x:f>
        <x:v>3000</x:v>
      </x:c>
      <x:c r="N24" s="51" t="n">
        <x:f>IF(AND(ISNUMBER('Assumptions'!$D$82)),'Assumptions'!$D$82,"n.a.")</x:f>
        <x:v>3000</x:v>
      </x:c>
      <x:c r="O24" s="51" t="n">
        <x:f>IF(AND(ISNUMBER('Assumptions'!$D$82)),'Assumptions'!$D$82,"n.a.")</x:f>
        <x:v>3000</x:v>
      </x:c>
      <x:c r="P24" s="51" t="n">
        <x:f>IF(AND(ISNUMBER('Assumptions'!$D$82)),'Assumptions'!$D$82,"n.a.")</x:f>
        <x:v>3000</x:v>
      </x:c>
      <x:c r="Q24" s="51" t="n">
        <x:f>IF(AND(ISNUMBER('Assumptions'!$D$82)),'Assumptions'!$D$82,"n.a.")</x:f>
        <x:v>3000</x:v>
      </x:c>
      <x:c r="R24" s="51" t="n">
        <x:f>IF(AND(ISNUMBER('Assumptions'!$D$82)),'Assumptions'!$D$82,"n.a.")</x:f>
        <x:v>3000</x:v>
      </x:c>
    </x:row>
    <x:row r="25" ht="21" customHeight="1">
      <x:c r="A25" s="2"/>
      <x:c r="B25" s="2"/>
      <x:c r="C25" s="2" t="str">
        <x:v>Maintenance capital deducted once</x:v>
      </x:c>
      <x:c r="D25" s="2" t="str">
        <x:v>USD</x:v>
      </x:c>
      <x:c r="E25" s="52" t="n">
        <x:f>IF(COUNT(G25:R25)=12,SUM(G25:R25),"n.a.")</x:f>
        <x:v>18000</x:v>
      </x:c>
      <x:c r="F25" s="2"/>
      <x:c r="G25" s="51" t="n">
        <x:f>IF(AND(ISNUMBER('Assumptions'!$D$85),ISNUMBER('Assumptions'!$D$70)),'Assumptions'!$D$85*'Assumptions'!$D$70,"n.a.")</x:f>
        <x:v>1500</x:v>
      </x:c>
      <x:c r="H25" s="51" t="n">
        <x:f>IF(AND(ISNUMBER('Assumptions'!$D$85),ISNUMBER('Assumptions'!$D$70)),'Assumptions'!$D$85*'Assumptions'!$D$70,"n.a.")</x:f>
        <x:v>1500</x:v>
      </x:c>
      <x:c r="I25" s="51" t="n">
        <x:f>IF(AND(ISNUMBER('Assumptions'!$D$85),ISNUMBER('Assumptions'!$D$70)),'Assumptions'!$D$85*'Assumptions'!$D$70,"n.a.")</x:f>
        <x:v>1500</x:v>
      </x:c>
      <x:c r="J25" s="51" t="n">
        <x:f>IF(AND(ISNUMBER('Assumptions'!$D$85),ISNUMBER('Assumptions'!$D$70)),'Assumptions'!$D$85*'Assumptions'!$D$70,"n.a.")</x:f>
        <x:v>1500</x:v>
      </x:c>
      <x:c r="K25" s="51" t="n">
        <x:f>IF(AND(ISNUMBER('Assumptions'!$D$85),ISNUMBER('Assumptions'!$D$70)),'Assumptions'!$D$85*'Assumptions'!$D$70,"n.a.")</x:f>
        <x:v>1500</x:v>
      </x:c>
      <x:c r="L25" s="51" t="n">
        <x:f>IF(AND(ISNUMBER('Assumptions'!$D$85),ISNUMBER('Assumptions'!$D$70)),'Assumptions'!$D$85*'Assumptions'!$D$70,"n.a.")</x:f>
        <x:v>1500</x:v>
      </x:c>
      <x:c r="M25" s="51" t="n">
        <x:f>IF(AND(ISNUMBER('Assumptions'!$D$85),ISNUMBER('Assumptions'!$D$70)),'Assumptions'!$D$85*'Assumptions'!$D$70,"n.a.")</x:f>
        <x:v>1500</x:v>
      </x:c>
      <x:c r="N25" s="51" t="n">
        <x:f>IF(AND(ISNUMBER('Assumptions'!$D$85),ISNUMBER('Assumptions'!$D$70)),'Assumptions'!$D$85*'Assumptions'!$D$70,"n.a.")</x:f>
        <x:v>1500</x:v>
      </x:c>
      <x:c r="O25" s="51" t="n">
        <x:f>IF(AND(ISNUMBER('Assumptions'!$D$85),ISNUMBER('Assumptions'!$D$70)),'Assumptions'!$D$85*'Assumptions'!$D$70,"n.a.")</x:f>
        <x:v>1500</x:v>
      </x:c>
      <x:c r="P25" s="51" t="n">
        <x:f>IF(AND(ISNUMBER('Assumptions'!$D$85),ISNUMBER('Assumptions'!$D$70)),'Assumptions'!$D$85*'Assumptions'!$D$70,"n.a.")</x:f>
        <x:v>1500</x:v>
      </x:c>
      <x:c r="Q25" s="51" t="n">
        <x:f>IF(AND(ISNUMBER('Assumptions'!$D$85),ISNUMBER('Assumptions'!$D$70)),'Assumptions'!$D$85*'Assumptions'!$D$70,"n.a.")</x:f>
        <x:v>1500</x:v>
      </x:c>
      <x:c r="R25" s="51" t="n">
        <x:f>IF(AND(ISNUMBER('Assumptions'!$D$85),ISNUMBER('Assumptions'!$D$70)),'Assumptions'!$D$85*'Assumptions'!$D$70,"n.a.")</x:f>
        <x:v>1500</x:v>
      </x:c>
    </x:row>
    <x:row r="26" ht="21" customHeight="1">
      <x:c r="A26" s="2"/>
      <x:c r="B26" s="2"/>
      <x:c r="C26" s="2" t="str">
        <x:v>Operating and outside cash obligations</x:v>
      </x:c>
      <x:c r="D26" s="2" t="str">
        <x:v>USD</x:v>
      </x:c>
      <x:c r="E26" s="52" t="n">
        <x:f>IF(COUNT(G26:R26)=12,SUM(G26:R26),"n.a.")</x:f>
        <x:v>1540752</x:v>
      </x:c>
      <x:c r="F26" s="2"/>
      <x:c r="G26" s="52" t="n">
        <x:f>IF(AND(ISNUMBER(G18),ISNUMBER(G22),ISNUMBER(G23),ISNUMBER(G24),ISNUMBER(G25)),G18+G22+G23+G24+G25,"n.a.")</x:f>
        <x:v>128396</x:v>
      </x:c>
      <x:c r="H26" s="52" t="n">
        <x:f>IF(AND(ISNUMBER(H18),ISNUMBER(H22),ISNUMBER(H23),ISNUMBER(H24),ISNUMBER(H25)),H18+H22+H23+H24+H25,"n.a.")</x:f>
        <x:v>128396</x:v>
      </x:c>
      <x:c r="I26" s="52" t="n">
        <x:f>IF(AND(ISNUMBER(I18),ISNUMBER(I22),ISNUMBER(I23),ISNUMBER(I24),ISNUMBER(I25)),I18+I22+I23+I24+I25,"n.a.")</x:f>
        <x:v>128396</x:v>
      </x:c>
      <x:c r="J26" s="52" t="n">
        <x:f>IF(AND(ISNUMBER(J18),ISNUMBER(J22),ISNUMBER(J23),ISNUMBER(J24),ISNUMBER(J25)),J18+J22+J23+J24+J25,"n.a.")</x:f>
        <x:v>128396</x:v>
      </x:c>
      <x:c r="K26" s="52" t="n">
        <x:f>IF(AND(ISNUMBER(K18),ISNUMBER(K22),ISNUMBER(K23),ISNUMBER(K24),ISNUMBER(K25)),K18+K22+K23+K24+K25,"n.a.")</x:f>
        <x:v>128396</x:v>
      </x:c>
      <x:c r="L26" s="52" t="n">
        <x:f>IF(AND(ISNUMBER(L18),ISNUMBER(L22),ISNUMBER(L23),ISNUMBER(L24),ISNUMBER(L25)),L18+L22+L23+L24+L25,"n.a.")</x:f>
        <x:v>128396</x:v>
      </x:c>
      <x:c r="M26" s="52" t="n">
        <x:f>IF(AND(ISNUMBER(M18),ISNUMBER(M22),ISNUMBER(M23),ISNUMBER(M24),ISNUMBER(M25)),M18+M22+M23+M24+M25,"n.a.")</x:f>
        <x:v>128396</x:v>
      </x:c>
      <x:c r="N26" s="52" t="n">
        <x:f>IF(AND(ISNUMBER(N18),ISNUMBER(N22),ISNUMBER(N23),ISNUMBER(N24),ISNUMBER(N25)),N18+N22+N23+N24+N25,"n.a.")</x:f>
        <x:v>128396</x:v>
      </x:c>
      <x:c r="O26" s="52" t="n">
        <x:f>IF(AND(ISNUMBER(O18),ISNUMBER(O22),ISNUMBER(O23),ISNUMBER(O24),ISNUMBER(O25)),O18+O22+O23+O24+O25,"n.a.")</x:f>
        <x:v>128396</x:v>
      </x:c>
      <x:c r="P26" s="52" t="n">
        <x:f>IF(AND(ISNUMBER(P18),ISNUMBER(P22),ISNUMBER(P23),ISNUMBER(P24),ISNUMBER(P25)),P18+P22+P23+P24+P25,"n.a.")</x:f>
        <x:v>128396</x:v>
      </x:c>
      <x:c r="Q26" s="52" t="n">
        <x:f>IF(AND(ISNUMBER(Q18),ISNUMBER(Q22),ISNUMBER(Q23),ISNUMBER(Q24),ISNUMBER(Q25)),Q18+Q22+Q23+Q24+Q25,"n.a.")</x:f>
        <x:v>128396</x:v>
      </x:c>
      <x:c r="R26" s="52" t="n">
        <x:f>IF(AND(ISNUMBER(R18),ISNUMBER(R22),ISNUMBER(R23),ISNUMBER(R24),ISNUMBER(R25)),R18+R22+R23+R24+R25,"n.a.")</x:f>
        <x:v>128396</x:v>
      </x:c>
    </x:row>
    <x:row r="27" ht="21" customHeight="1">
      <x:c r="A27" s="2"/>
      <x:c r="B27" s="2"/>
      <x:c r="C27" s="2" t="str">
        <x:v>Additional expansion / property capital</x:v>
      </x:c>
      <x:c r="D27" s="2" t="str">
        <x:v>USD</x:v>
      </x:c>
      <x:c r="E27" s="52" t="n">
        <x:f>IF(COUNT(G27:R27)=12,SUM(G27:R27),"n.a.")</x:f>
        <x:v>95000</x:v>
      </x:c>
      <x:c r="F27" s="2"/>
      <x:c r="G27" s="51" t="n">
        <x:f>IF(AND('Service Bays'!N10="OK"),IF(AND(ISNUMBER('Service Bays'!$M$10),ISNUMBER('Assumptions'!$D$70)),'Service Bays'!$M$10*'Assumptions'!$D$70,"n.a."),"n.a.")</x:f>
        <x:v>0</x:v>
      </x:c>
      <x:c r="H27" s="51" t="n">
        <x:f>IF(AND('Service Bays'!N11="OK"),IF(AND(ISNUMBER('Service Bays'!$M$11),ISNUMBER('Assumptions'!$D$70)),'Service Bays'!$M$11*'Assumptions'!$D$70,"n.a."),"n.a.")</x:f>
        <x:v>0</x:v>
      </x:c>
      <x:c r="I27" s="51" t="n">
        <x:f>IF(AND('Service Bays'!N12="OK"),IF(AND(ISNUMBER('Service Bays'!$M$12),ISNUMBER('Assumptions'!$D$70)),'Service Bays'!$M$12*'Assumptions'!$D$70,"n.a."),"n.a.")</x:f>
        <x:v>0</x:v>
      </x:c>
      <x:c r="J27" s="51" t="n">
        <x:f>IF(AND('Service Bays'!N13="OK"),IF(AND(ISNUMBER('Service Bays'!$M$13),ISNUMBER('Assumptions'!$D$70)),'Service Bays'!$M$13*'Assumptions'!$D$70,"n.a."),"n.a.")</x:f>
        <x:v>0</x:v>
      </x:c>
      <x:c r="K27" s="51" t="n">
        <x:f>IF(AND('Service Bays'!N14="OK"),IF(AND(ISNUMBER('Service Bays'!$M$14),ISNUMBER('Assumptions'!$D$70)),'Service Bays'!$M$14*'Assumptions'!$D$70,"n.a."),"n.a.")</x:f>
        <x:v>0</x:v>
      </x:c>
      <x:c r="L27" s="51" t="n">
        <x:f>IF(AND('Service Bays'!N15="OK"),IF(AND(ISNUMBER('Service Bays'!$M$15),ISNUMBER('Assumptions'!$D$70)),'Service Bays'!$M$15*'Assumptions'!$D$70,"n.a."),"n.a.")</x:f>
        <x:v>0</x:v>
      </x:c>
      <x:c r="M27" s="51" t="n">
        <x:f>IF(AND('Service Bays'!N16="OK"),IF(AND(ISNUMBER('Service Bays'!$M$16),ISNUMBER('Assumptions'!$D$70)),'Service Bays'!$M$16*'Assumptions'!$D$70,"n.a."),"n.a.")</x:f>
        <x:v>0</x:v>
      </x:c>
      <x:c r="N27" s="51" t="n">
        <x:f>IF(AND('Service Bays'!N17="OK"),IF(AND(ISNUMBER('Service Bays'!$M$17),ISNUMBER('Assumptions'!$D$70)),'Service Bays'!$M$17*'Assumptions'!$D$70,"n.a."),"n.a.")</x:f>
        <x:v>0</x:v>
      </x:c>
      <x:c r="O27" s="51" t="n">
        <x:f>IF(AND('Service Bays'!N18="OK"),IF(AND(ISNUMBER('Service Bays'!$M$18),ISNUMBER('Assumptions'!$D$70)),'Service Bays'!$M$18*'Assumptions'!$D$70,"n.a."),"n.a.")</x:f>
        <x:v>95000</x:v>
      </x:c>
      <x:c r="P27" s="51" t="n">
        <x:f>IF(AND('Service Bays'!N19="OK"),IF(AND(ISNUMBER('Service Bays'!$M$19),ISNUMBER('Assumptions'!$D$70)),'Service Bays'!$M$19*'Assumptions'!$D$70,"n.a."),"n.a.")</x:f>
        <x:v>0</x:v>
      </x:c>
      <x:c r="Q27" s="51" t="n">
        <x:f>IF(AND('Service Bays'!N20="OK"),IF(AND(ISNUMBER('Service Bays'!$M$20),ISNUMBER('Assumptions'!$D$70)),'Service Bays'!$M$20*'Assumptions'!$D$70,"n.a."),"n.a.")</x:f>
        <x:v>0</x:v>
      </x:c>
      <x:c r="R27" s="51" t="n">
        <x:f>IF(AND('Service Bays'!N21="OK"),IF(AND(ISNUMBER('Service Bays'!$M$21),ISNUMBER('Assumptions'!$D$70)),'Service Bays'!$M$21*'Assumptions'!$D$70,"n.a."),"n.a.")</x:f>
        <x:v>0</x:v>
      </x:c>
    </x:row>
    <x:row r="28" ht="21" customHeight="1">
      <x:c r="A28" s="2"/>
      <x:c r="B28" s="2"/>
      <x:c r="C28" s="2" t="str">
        <x:v>Fixed property / entity costs</x:v>
      </x:c>
      <x:c r="D28" s="2" t="str">
        <x:v>USD</x:v>
      </x:c>
      <x:c r="E28" s="52" t="n">
        <x:f>IF(COUNT(G28:R28)=12,SUM(G28:R28),"n.a.")</x:f>
        <x:v>0</x:v>
      </x:c>
      <x:c r="F28" s="2"/>
      <x:c r="G28" s="51" t="n">
        <x:f>IF(AND(ISNUMBER('Assumptions'!$D$55)),'Assumptions'!$D$55/12,"n.a.")</x:f>
        <x:v>0</x:v>
      </x:c>
      <x:c r="H28" s="51" t="n">
        <x:f>IF(AND(ISNUMBER('Assumptions'!$D$55)),'Assumptions'!$D$55/12,"n.a.")</x:f>
        <x:v>0</x:v>
      </x:c>
      <x:c r="I28" s="51" t="n">
        <x:f>IF(AND(ISNUMBER('Assumptions'!$D$55)),'Assumptions'!$D$55/12,"n.a.")</x:f>
        <x:v>0</x:v>
      </x:c>
      <x:c r="J28" s="51" t="n">
        <x:f>IF(AND(ISNUMBER('Assumptions'!$D$55)),'Assumptions'!$D$55/12,"n.a.")</x:f>
        <x:v>0</x:v>
      </x:c>
      <x:c r="K28" s="51" t="n">
        <x:f>IF(AND(ISNUMBER('Assumptions'!$D$55)),'Assumptions'!$D$55/12,"n.a.")</x:f>
        <x:v>0</x:v>
      </x:c>
      <x:c r="L28" s="51" t="n">
        <x:f>IF(AND(ISNUMBER('Assumptions'!$D$55)),'Assumptions'!$D$55/12,"n.a.")</x:f>
        <x:v>0</x:v>
      </x:c>
      <x:c r="M28" s="51" t="n">
        <x:f>IF(AND(ISNUMBER('Assumptions'!$D$55)),'Assumptions'!$D$55/12,"n.a.")</x:f>
        <x:v>0</x:v>
      </x:c>
      <x:c r="N28" s="51" t="n">
        <x:f>IF(AND(ISNUMBER('Assumptions'!$D$55)),'Assumptions'!$D$55/12,"n.a.")</x:f>
        <x:v>0</x:v>
      </x:c>
      <x:c r="O28" s="51" t="n">
        <x:f>IF(AND(ISNUMBER('Assumptions'!$D$55)),'Assumptions'!$D$55/12,"n.a.")</x:f>
        <x:v>0</x:v>
      </x:c>
      <x:c r="P28" s="51" t="n">
        <x:f>IF(AND(ISNUMBER('Assumptions'!$D$55)),'Assumptions'!$D$55/12,"n.a.")</x:f>
        <x:v>0</x:v>
      </x:c>
      <x:c r="Q28" s="51" t="n">
        <x:f>IF(AND(ISNUMBER('Assumptions'!$D$55)),'Assumptions'!$D$55/12,"n.a.")</x:f>
        <x:v>0</x:v>
      </x:c>
      <x:c r="R28" s="51" t="n">
        <x:f>IF(AND(ISNUMBER('Assumptions'!$D$55)),'Assumptions'!$D$55/12,"n.a.")</x:f>
        <x:v>0</x:v>
      </x:c>
    </x:row>
    <x:row r="29" ht="21" customHeight="1">
      <x:c r="A29" s="2"/>
      <x:c r="B29" s="2"/>
      <x:c r="C29" s="56" t="str">
        <x:v>Total cash operating costs</x:v>
      </x:c>
      <x:c r="D29" s="56" t="str">
        <x:v>USD</x:v>
      </x:c>
      <x:c r="E29" s="57" t="n">
        <x:f>IF(COUNT(G29:R29)=12,SUM(G29:R29),"n.a.")</x:f>
        <x:v>1540752</x:v>
      </x:c>
      <x:c r="F29" s="56"/>
      <x:c r="G29" s="57" t="n">
        <x:f>IF(AND(ISNUMBER(G26),ISNUMBER(G28)),G26+G28,"n.a.")</x:f>
        <x:v>128396</x:v>
      </x:c>
      <x:c r="H29" s="57" t="n">
        <x:f>IF(AND(ISNUMBER(H26),ISNUMBER(H28)),H26+H28,"n.a.")</x:f>
        <x:v>128396</x:v>
      </x:c>
      <x:c r="I29" s="57" t="n">
        <x:f>IF(AND(ISNUMBER(I26),ISNUMBER(I28)),I26+I28,"n.a.")</x:f>
        <x:v>128396</x:v>
      </x:c>
      <x:c r="J29" s="57" t="n">
        <x:f>IF(AND(ISNUMBER(J26),ISNUMBER(J28)),J26+J28,"n.a.")</x:f>
        <x:v>128396</x:v>
      </x:c>
      <x:c r="K29" s="57" t="n">
        <x:f>IF(AND(ISNUMBER(K26),ISNUMBER(K28)),K26+K28,"n.a.")</x:f>
        <x:v>128396</x:v>
      </x:c>
      <x:c r="L29" s="57" t="n">
        <x:f>IF(AND(ISNUMBER(L26),ISNUMBER(L28)),L26+L28,"n.a.")</x:f>
        <x:v>128396</x:v>
      </x:c>
      <x:c r="M29" s="57" t="n">
        <x:f>IF(AND(ISNUMBER(M26),ISNUMBER(M28)),M26+M28,"n.a.")</x:f>
        <x:v>128396</x:v>
      </x:c>
      <x:c r="N29" s="57" t="n">
        <x:f>IF(AND(ISNUMBER(N26),ISNUMBER(N28)),N26+N28,"n.a.")</x:f>
        <x:v>128396</x:v>
      </x:c>
      <x:c r="O29" s="57" t="n">
        <x:f>IF(AND(ISNUMBER(O26),ISNUMBER(O28)),O26+O28,"n.a.")</x:f>
        <x:v>128396</x:v>
      </x:c>
      <x:c r="P29" s="57" t="n">
        <x:f>IF(AND(ISNUMBER(P26),ISNUMBER(P28)),P26+P28,"n.a.")</x:f>
        <x:v>128396</x:v>
      </x:c>
      <x:c r="Q29" s="57" t="n">
        <x:f>IF(AND(ISNUMBER(Q26),ISNUMBER(Q28)),Q26+Q28,"n.a.")</x:f>
        <x:v>128396</x:v>
      </x:c>
      <x:c r="R29" s="57" t="n">
        <x:f>IF(AND(ISNUMBER(R26),ISNUMBER(R28)),R26+R28,"n.a.")</x:f>
        <x:v>128396</x:v>
      </x:c>
    </x:row>
    <x:row r="30" ht="21" customHeight="1">
      <x:c r="A30" s="2"/>
      <x:c r="B30" s="2"/>
      <x:c r="C30" s="56" t="str">
        <x:v>Combined cash after listed obligations</x:v>
      </x:c>
      <x:c r="D30" s="56" t="str">
        <x:v>USD</x:v>
      </x:c>
      <x:c r="E30" s="57" t="n">
        <x:f>IF(COUNT(G30:R30)=12,SUM(G30:R30),"n.a.")</x:f>
        <x:v>702333.1200000001</x:v>
      </x:c>
      <x:c r="F30" s="56"/>
      <x:c r="G30" s="57" t="n">
        <x:f>IF(AND(ISNUMBER(G21),ISNUMBER(G29)),G21-G29,"n.a.")</x:f>
        <x:v>65626.72</x:v>
      </x:c>
      <x:c r="H30" s="57" t="n">
        <x:f>IF(AND(ISNUMBER(H21),ISNUMBER(H29)),H21-H29,"n.a.")</x:f>
        <x:v>57882.399999999994</x:v>
      </x:c>
      <x:c r="I30" s="57" t="n">
        <x:f>IF(AND(ISNUMBER(I21),ISNUMBER(I29)),I21-I29,"n.a.")</x:f>
        <x:v>57882.399999999994</x:v>
      </x:c>
      <x:c r="J30" s="57" t="n">
        <x:f>IF(AND(ISNUMBER(J21),ISNUMBER(J29)),J21-J29,"n.a.")</x:f>
        <x:v>57882.399999999994</x:v>
      </x:c>
      <x:c r="K30" s="57" t="n">
        <x:f>IF(AND(ISNUMBER(K21),ISNUMBER(K29)),K21-K29,"n.a.")</x:f>
        <x:v>57882.399999999994</x:v>
      </x:c>
      <x:c r="L30" s="57" t="n">
        <x:f>IF(AND(ISNUMBER(L21),ISNUMBER(L29)),L21-L29,"n.a.")</x:f>
        <x:v>57882.399999999994</x:v>
      </x:c>
      <x:c r="M30" s="57" t="n">
        <x:f>IF(AND(ISNUMBER(M21),ISNUMBER(M29)),M21-M29,"n.a.")</x:f>
        <x:v>57882.399999999994</x:v>
      </x:c>
      <x:c r="N30" s="57" t="n">
        <x:f>IF(AND(ISNUMBER(N21),ISNUMBER(N29)),N21-N29,"n.a.")</x:f>
        <x:v>57882.399999999994</x:v>
      </x:c>
      <x:c r="O30" s="57" t="n">
        <x:f>IF(AND(ISNUMBER(O21),ISNUMBER(O29)),O21-O29,"n.a.")</x:f>
        <x:v>57882.399999999994</x:v>
      </x:c>
      <x:c r="P30" s="57" t="n">
        <x:f>IF(AND(ISNUMBER(P21),ISNUMBER(P29)),P21-P29,"n.a.")</x:f>
        <x:v>57882.399999999994</x:v>
      </x:c>
      <x:c r="Q30" s="57" t="n">
        <x:f>IF(AND(ISNUMBER(Q21),ISNUMBER(Q29)),Q21-Q29,"n.a.")</x:f>
        <x:v>57882.399999999994</x:v>
      </x:c>
      <x:c r="R30" s="57" t="n">
        <x:f>IF(AND(ISNUMBER(R21),ISNUMBER(R29)),R21-R29,"n.a.")</x:f>
        <x:v>57882.399999999994</x:v>
      </x:c>
    </x:row>
    <x:row r="31" ht="21" customHeight="1">
      <x:c r="A31" s="2"/>
      <x:c r="B31" s="2"/>
      <x:c r="C31" s="2" t="str">
        <x:v>Cash replacement reserve deposits</x:v>
      </x:c>
      <x:c r="D31" s="2" t="str">
        <x:v>USD</x:v>
      </x:c>
      <x:c r="E31" s="52" t="n">
        <x:f>IF(COUNT(G31:R31)=12,SUM(G31:R31),"n.a.")</x:f>
        <x:v>0</x:v>
      </x:c>
      <x:c r="F31" s="2"/>
      <x:c r="G31" s="51" t="n">
        <x:f>IF(AND(ISNUMBER(G21),ISNUMBER('Assumptions'!$D$58)),MAX(0,G21)*'Assumptions'!$D$58,"n.a.")</x:f>
        <x:v>0</x:v>
      </x:c>
      <x:c r="H31" s="51" t="n">
        <x:f>IF(AND(ISNUMBER(H21),ISNUMBER('Assumptions'!$D$58)),MAX(0,H21)*'Assumptions'!$D$58,"n.a.")</x:f>
        <x:v>0</x:v>
      </x:c>
      <x:c r="I31" s="51" t="n">
        <x:f>IF(AND(ISNUMBER(I21),ISNUMBER('Assumptions'!$D$58)),MAX(0,I21)*'Assumptions'!$D$58,"n.a.")</x:f>
        <x:v>0</x:v>
      </x:c>
      <x:c r="J31" s="51" t="n">
        <x:f>IF(AND(ISNUMBER(J21),ISNUMBER('Assumptions'!$D$58)),MAX(0,J21)*'Assumptions'!$D$58,"n.a.")</x:f>
        <x:v>0</x:v>
      </x:c>
      <x:c r="K31" s="51" t="n">
        <x:f>IF(AND(ISNUMBER(K21),ISNUMBER('Assumptions'!$D$58)),MAX(0,K21)*'Assumptions'!$D$58,"n.a.")</x:f>
        <x:v>0</x:v>
      </x:c>
      <x:c r="L31" s="51" t="n">
        <x:f>IF(AND(ISNUMBER(L21),ISNUMBER('Assumptions'!$D$58)),MAX(0,L21)*'Assumptions'!$D$58,"n.a.")</x:f>
        <x:v>0</x:v>
      </x:c>
      <x:c r="M31" s="51" t="n">
        <x:f>IF(AND(ISNUMBER(M21),ISNUMBER('Assumptions'!$D$58)),MAX(0,M21)*'Assumptions'!$D$58,"n.a.")</x:f>
        <x:v>0</x:v>
      </x:c>
      <x:c r="N31" s="51" t="n">
        <x:f>IF(AND(ISNUMBER(N21),ISNUMBER('Assumptions'!$D$58)),MAX(0,N21)*'Assumptions'!$D$58,"n.a.")</x:f>
        <x:v>0</x:v>
      </x:c>
      <x:c r="O31" s="51" t="n">
        <x:f>IF(AND(ISNUMBER(O21),ISNUMBER('Assumptions'!$D$58)),MAX(0,O21)*'Assumptions'!$D$58,"n.a.")</x:f>
        <x:v>0</x:v>
      </x:c>
      <x:c r="P31" s="51" t="n">
        <x:f>IF(AND(ISNUMBER(P21),ISNUMBER('Assumptions'!$D$58)),MAX(0,P21)*'Assumptions'!$D$58,"n.a.")</x:f>
        <x:v>0</x:v>
      </x:c>
      <x:c r="Q31" s="51" t="n">
        <x:f>IF(AND(ISNUMBER(Q21),ISNUMBER('Assumptions'!$D$58)),MAX(0,Q21)*'Assumptions'!$D$58,"n.a.")</x:f>
        <x:v>0</x:v>
      </x:c>
      <x:c r="R31" s="51" t="n">
        <x:f>IF(AND(ISNUMBER(R21),ISNUMBER('Assumptions'!$D$58)),MAX(0,R21)*'Assumptions'!$D$58,"n.a.")</x:f>
        <x:v>0</x:v>
      </x:c>
    </x:row>
    <x:row r="32" ht="21" customHeight="1">
      <x:c r="A32" s="2"/>
      <x:c r="B32" s="2"/>
      <x:c r="C32" s="56" t="str">
        <x:v>Cash NCF before property debt / capital</x:v>
      </x:c>
      <x:c r="D32" s="56" t="str">
        <x:v>USD</x:v>
      </x:c>
      <x:c r="E32" s="57" t="n">
        <x:f>IF(COUNT(G32:R32)=12,SUM(G32:R32),"n.a.")</x:f>
        <x:v>702333.1200000001</x:v>
      </x:c>
      <x:c r="F32" s="56"/>
      <x:c r="G32" s="57" t="n">
        <x:f>IF(AND(ISNUMBER(G30),ISNUMBER(G31)),G30-G31,"n.a.")</x:f>
        <x:v>65626.72</x:v>
      </x:c>
      <x:c r="H32" s="57" t="n">
        <x:f>IF(AND(ISNUMBER(H30),ISNUMBER(H31)),H30-H31,"n.a.")</x:f>
        <x:v>57882.399999999994</x:v>
      </x:c>
      <x:c r="I32" s="57" t="n">
        <x:f>IF(AND(ISNUMBER(I30),ISNUMBER(I31)),I30-I31,"n.a.")</x:f>
        <x:v>57882.399999999994</x:v>
      </x:c>
      <x:c r="J32" s="57" t="n">
        <x:f>IF(AND(ISNUMBER(J30),ISNUMBER(J31)),J30-J31,"n.a.")</x:f>
        <x:v>57882.399999999994</x:v>
      </x:c>
      <x:c r="K32" s="57" t="n">
        <x:f>IF(AND(ISNUMBER(K30),ISNUMBER(K31)),K30-K31,"n.a.")</x:f>
        <x:v>57882.399999999994</x:v>
      </x:c>
      <x:c r="L32" s="57" t="n">
        <x:f>IF(AND(ISNUMBER(L30),ISNUMBER(L31)),L30-L31,"n.a.")</x:f>
        <x:v>57882.399999999994</x:v>
      </x:c>
      <x:c r="M32" s="57" t="n">
        <x:f>IF(AND(ISNUMBER(M30),ISNUMBER(M31)),M30-M31,"n.a.")</x:f>
        <x:v>57882.399999999994</x:v>
      </x:c>
      <x:c r="N32" s="57" t="n">
        <x:f>IF(AND(ISNUMBER(N30),ISNUMBER(N31)),N30-N31,"n.a.")</x:f>
        <x:v>57882.399999999994</x:v>
      </x:c>
      <x:c r="O32" s="57" t="n">
        <x:f>IF(AND(ISNUMBER(O30),ISNUMBER(O31)),O30-O31,"n.a.")</x:f>
        <x:v>57882.399999999994</x:v>
      </x:c>
      <x:c r="P32" s="57" t="n">
        <x:f>IF(AND(ISNUMBER(P30),ISNUMBER(P31)),P30-P31,"n.a.")</x:f>
        <x:v>57882.399999999994</x:v>
      </x:c>
      <x:c r="Q32" s="57" t="n">
        <x:f>IF(AND(ISNUMBER(Q30),ISNUMBER(Q31)),Q30-Q31,"n.a.")</x:f>
        <x:v>57882.399999999994</x:v>
      </x:c>
      <x:c r="R32" s="57" t="n">
        <x:f>IF(AND(ISNUMBER(R30),ISNUMBER(R31)),R30-R31,"n.a.")</x:f>
        <x:v>57882.399999999994</x:v>
      </x:c>
    </x:row>
    <x:row r="33" ht="21" customHeight="1">
      <x:c r="A33" s="2"/>
      <x:c r="B33" s="2"/>
      <x:c r="C33" s="2"/>
      <x:c r="D33" s="2"/>
      <x:c r="E33" s="2"/>
      <x:c r="F33" s="2"/>
      <x:c r="G33" s="2"/>
      <x:c r="H33" s="2"/>
      <x:c r="I33" s="2"/>
      <x:c r="J33" s="2"/>
      <x:c r="K33" s="2"/>
      <x:c r="L33" s="2"/>
      <x:c r="M33" s="2"/>
      <x:c r="N33" s="2"/>
      <x:c r="O33" s="2"/>
      <x:c r="P33" s="2"/>
      <x:c r="Q33" s="2"/>
      <x:c r="R33" s="2"/>
    </x:row>
    <x:row r="34" ht="21" customHeight="1">
      <x:c r="A34" s="2"/>
      <x:c r="B34" s="2"/>
      <x:c r="C34" s="2"/>
      <x:c r="D34" s="2"/>
      <x:c r="E34" s="2"/>
      <x:c r="F34" s="2"/>
      <x:c r="G34" s="2"/>
      <x:c r="H34" s="2"/>
      <x:c r="I34" s="2"/>
      <x:c r="J34" s="2"/>
      <x:c r="K34" s="2"/>
      <x:c r="L34" s="2"/>
      <x:c r="M34" s="2"/>
      <x:c r="N34" s="2"/>
      <x:c r="O34" s="2"/>
      <x:c r="P34" s="2"/>
      <x:c r="Q34" s="2"/>
      <x:c r="R34" s="2"/>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51" t="n">
        <x:f>IF(AND(ISNUMBER('Operations'!E32),ISNUMBER('Assumptions'!$D$52)),'Operations'!E32+'Assumptions'!$D$52,"n.a.")</x:f>
        <x:v>702333.1200000001</x:v>
      </x:c>
      <x:c r="E9" s="2"/>
      <x:c r="F9" s="2"/>
      <x:c r="G9" s="2"/>
      <x:c r="H9" s="2"/>
      <x:c r="I9" s="2"/>
      <x:c r="J9" s="2"/>
      <x:c r="K9" s="2"/>
      <x:c r="L9" s="2"/>
      <x:c r="M9" s="2"/>
      <x:c r="N9" s="2"/>
      <x:c r="O9" s="2"/>
      <x:c r="P9" s="2"/>
      <x:c r="Q9" s="2"/>
      <x:c r="R9" s="2"/>
    </x:row>
    <x:row r="10" ht="21" customHeight="1">
      <x:c r="A10" s="2"/>
      <x:c r="B10" s="2"/>
      <x:c r="C10" s="2" t="str">
        <x:v>Monthly amortizing factor</x:v>
      </x:c>
      <x:c r="D10" s="59"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51" t="n">
        <x:f>IF(AND(ISNUMBER(D9),ISNUMBER('Assumptions'!$D$46),ISNUMBER(D10)),MAX(0,D9)/'Assumptions'!$D$46/(D10*12),"n.a.")</x:f>
        <x:v>6934495.171311256</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51" t="n">
        <x:f>IF(AND(ISNUMBER('Assumptions'!$D$10),ISNUMBER('Assumptions'!$D$43)),'Assumptions'!$D$10*'Assumptions'!$D$43,"n.a.")</x:f>
        <x:v>1755000</x:v>
      </x:c>
      <x:c r="E12" s="2"/>
      <x:c r="F12" s="2"/>
      <x:c r="G12" s="2"/>
      <x:c r="H12" s="2"/>
      <x:c r="I12" s="2"/>
      <x:c r="J12" s="2"/>
      <x:c r="K12" s="2"/>
      <x:c r="L12" s="2"/>
      <x:c r="M12" s="2"/>
      <x:c r="N12" s="2"/>
      <x:c r="O12" s="2"/>
      <x:c r="P12" s="2"/>
      <x:c r="Q12" s="2"/>
      <x:c r="R12" s="2"/>
    </x:row>
    <x:row r="13" ht="21" customHeight="1">
      <x:c r="A13" s="2"/>
      <x:c r="B13" s="2"/>
      <x:c r="C13" s="2" t="str">
        <x:v>Debt-yield loan capacity</x:v>
      </x:c>
      <x:c r="D13" s="51" t="n">
        <x:f>IF(AND(ISNUMBER(D9),ISNUMBER('Assumptions'!$D$49)),MAX(0,D9)/'Assumptions'!$D$49,"n.a.")</x:f>
        <x:v>7803701.333333335</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51" t="n">
        <x:f>IF(AND(ISNUMBER(D11),ISNUMBER(D12),ISNUMBER(D13),ISNUMBER('Assumptions'!$D$28)),MIN(D11,D12,D13,'Assumptions'!$D$28),"n.a.")</x:f>
        <x:v>1700000</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Requested ceiling</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52" t="n">
        <x:f>IF(AND(ISNUMBER(D14),ISNUMBER(D10)),D14*D10,"n.a.")</x:f>
        <x:v>11478.521742909908</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51" t="n">
        <x:f>IF(AND(ISNUMBER('Assumptions'!$D$13),ISNUMBER('Assumptions'!$D$16),ISNUMBER('Assumptions'!$D$19),ISNUMBER('Assumptions'!$D$22)),'Assumptions'!$D$13+'Assumptions'!$D$16+'Assumptions'!$D$19+'Assumptions'!$D$22,"n.a.")</x:f>
        <x:v>2775000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52" t="n">
        <x:f>IF(AND(ISNUMBER(D17),ISNUMBER(D14)),D17-D14,"n.a.")</x:f>
        <x:v>1075000</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51" t="n">
        <x:f>IF(AND(ISNUMBER('Assumptions'!$D$25),ISNUMBER(D18)),'Assumptions'!$D$25-D18,"n.a.")</x:f>
        <x:v>125000</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51"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1558040.3186196515</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60" t="n">
        <x:f>IF(AND(ISNUMBER(D14)),D14,"n.a.")</x:f>
        <x:v>1700000</x:v>
      </x:c>
      <x:c r="H29" s="60" t="n">
        <x:f>IF(AND(ISNUMBER(G33)),G33,"n.a.")</x:f>
        <x:v>1700000</x:v>
      </x:c>
      <x:c r="I29" s="60" t="n">
        <x:f>IF(AND(ISNUMBER(H33)),H33,"n.a.")</x:f>
        <x:v>1700000</x:v>
      </x:c>
      <x:c r="J29" s="60" t="n">
        <x:f>IF(AND(ISNUMBER(I33)),I33,"n.a.")</x:f>
        <x:v>1700000</x:v>
      </x:c>
      <x:c r="K29" s="60" t="n">
        <x:f>IF(AND(ISNUMBER(J33)),J33,"n.a.")</x:f>
        <x:v>1700000</x:v>
      </x:c>
      <x:c r="L29" s="60" t="n">
        <x:f>IF(AND(ISNUMBER(K33)),K33,"n.a.")</x:f>
        <x:v>1700000</x:v>
      </x:c>
      <x:c r="M29" s="60" t="n">
        <x:f>IF(AND(ISNUMBER(L33)),L33,"n.a.")</x:f>
        <x:v>1700000</x:v>
      </x:c>
      <x:c r="N29" s="60" t="n">
        <x:f>IF(AND(ISNUMBER(M33)),M33,"n.a.")</x:f>
        <x:v>1697729.8115904233</x:v>
      </x:c>
      <x:c r="O29" s="60" t="n">
        <x:f>IF(AND(ISNUMBER(N33)),N33,"n.a.")</x:f>
        <x:v>1695447.3263269616</x:v>
      </x:c>
      <x:c r="P29" s="60" t="n">
        <x:f>IF(AND(ISNUMBER(O33)),O33,"n.a.")</x:f>
        <x:v>1693152.477601656</x:v>
      </x:c>
      <x:c r="Q29" s="60" t="n">
        <x:f>IF(AND(ISNUMBER(P33)),P33,"n.a.")</x:f>
        <x:v>1690845.198445755</x:v>
      </x:c>
      <x:c r="R29" s="60" t="n">
        <x:f>IF(AND(ISNUMBER(Q33)),Q33,"n.a.")</x:f>
        <x:v>1688525.4215277596</x:v>
      </x:c>
    </x:row>
    <x:row r="30" ht="21" customHeight="1">
      <x:c r="A30" s="2"/>
      <x:c r="B30" s="2"/>
      <x:c r="C30" s="2" t="str">
        <x:v>Monthly interest</x:v>
      </x:c>
      <x:c r="D30" s="2"/>
      <x:c r="E30" s="2"/>
      <x:c r="F30" s="2"/>
      <x:c r="G30" s="61" t="n">
        <x:f>IF(AND(ISNUMBER(G29),ISNUMBER('Assumptions'!$D$31)),G29*'Assumptions'!$D$31/12,"n.a.")</x:f>
        <x:v>9208.333333333334</x:v>
      </x:c>
      <x:c r="H30" s="61" t="n">
        <x:f>IF(AND(ISNUMBER(H29),ISNUMBER('Assumptions'!$D$31)),H29*'Assumptions'!$D$31/12,"n.a.")</x:f>
        <x:v>9208.333333333334</x:v>
      </x:c>
      <x:c r="I30" s="61" t="n">
        <x:f>IF(AND(ISNUMBER(I29),ISNUMBER('Assumptions'!$D$31)),I29*'Assumptions'!$D$31/12,"n.a.")</x:f>
        <x:v>9208.333333333334</x:v>
      </x:c>
      <x:c r="J30" s="61" t="n">
        <x:f>IF(AND(ISNUMBER(J29),ISNUMBER('Assumptions'!$D$31)),J29*'Assumptions'!$D$31/12,"n.a.")</x:f>
        <x:v>9208.333333333334</x:v>
      </x:c>
      <x:c r="K30" s="61" t="n">
        <x:f>IF(AND(ISNUMBER(K29),ISNUMBER('Assumptions'!$D$31)),K29*'Assumptions'!$D$31/12,"n.a.")</x:f>
        <x:v>9208.333333333334</x:v>
      </x:c>
      <x:c r="L30" s="61" t="n">
        <x:f>IF(AND(ISNUMBER(L29),ISNUMBER('Assumptions'!$D$31)),L29*'Assumptions'!$D$31/12,"n.a.")</x:f>
        <x:v>9208.333333333334</x:v>
      </x:c>
      <x:c r="M30" s="61" t="n">
        <x:f>IF(AND(ISNUMBER(M29),ISNUMBER('Assumptions'!$D$31)),M29*'Assumptions'!$D$31/12,"n.a.")</x:f>
        <x:v>9208.333333333334</x:v>
      </x:c>
      <x:c r="N30" s="61" t="n">
        <x:f>IF(AND(ISNUMBER(N29),ISNUMBER('Assumptions'!$D$31)),N29*'Assumptions'!$D$31/12,"n.a.")</x:f>
        <x:v>9196.036479448127</x:v>
      </x:c>
      <x:c r="O30" s="61" t="n">
        <x:f>IF(AND(ISNUMBER(O29),ISNUMBER('Assumptions'!$D$31)),O29*'Assumptions'!$D$31/12,"n.a.")</x:f>
        <x:v>9183.673017604377</x:v>
      </x:c>
      <x:c r="P30" s="61" t="n">
        <x:f>IF(AND(ISNUMBER(P29),ISNUMBER('Assumptions'!$D$31)),P29*'Assumptions'!$D$31/12,"n.a.")</x:f>
        <x:v>9171.24258700897</x:v>
      </x:c>
      <x:c r="Q30" s="61" t="n">
        <x:f>IF(AND(ISNUMBER(Q29),ISNUMBER('Assumptions'!$D$31)),Q29*'Assumptions'!$D$31/12,"n.a.")</x:f>
        <x:v>9158.744824914507</x:v>
      </x:c>
      <x:c r="R30" s="61" t="n">
        <x:f>IF(AND(ISNUMBER(R29),ISNUMBER('Assumptions'!$D$31)),R29*'Assumptions'!$D$31/12,"n.a.")</x:f>
        <x:v>9146.179366608698</x:v>
      </x:c>
    </x:row>
    <x:row r="31" ht="21" customHeight="1">
      <x:c r="A31" s="2"/>
      <x:c r="B31" s="2"/>
      <x:c r="C31" s="2" t="str">
        <x:v>Scheduled payment</x:v>
      </x:c>
      <x:c r="D31" s="2"/>
      <x:c r="E31" s="2"/>
      <x:c r="F31" s="2"/>
      <x:c r="G31" s="61" t="n">
        <x:f>IF(AND(ISNUMBER('Assumptions'!$D$37),ISNUMBER(G30),ISNUMBER(G29),ISNUMBER(D16)),IF(1&lt;='Assumptions'!$D$37,G30,MIN(G29+G30,D16)),"n.a.")</x:f>
        <x:v>9208.333333333334</x:v>
      </x:c>
      <x:c r="H31" s="61" t="n">
        <x:f>IF(AND(ISNUMBER('Assumptions'!$D$37),ISNUMBER(H30),ISNUMBER(H29),ISNUMBER(D16)),IF(2&lt;='Assumptions'!$D$37,H30,MIN(H29+H30,D16)),"n.a.")</x:f>
        <x:v>9208.333333333334</x:v>
      </x:c>
      <x:c r="I31" s="61" t="n">
        <x:f>IF(AND(ISNUMBER('Assumptions'!$D$37),ISNUMBER(I30),ISNUMBER(I29),ISNUMBER(D16)),IF(3&lt;='Assumptions'!$D$37,I30,MIN(I29+I30,D16)),"n.a.")</x:f>
        <x:v>9208.333333333334</x:v>
      </x:c>
      <x:c r="J31" s="61" t="n">
        <x:f>IF(AND(ISNUMBER('Assumptions'!$D$37),ISNUMBER(J30),ISNUMBER(J29),ISNUMBER(D16)),IF(4&lt;='Assumptions'!$D$37,J30,MIN(J29+J30,D16)),"n.a.")</x:f>
        <x:v>9208.333333333334</x:v>
      </x:c>
      <x:c r="K31" s="61" t="n">
        <x:f>IF(AND(ISNUMBER('Assumptions'!$D$37),ISNUMBER(K30),ISNUMBER(K29),ISNUMBER(D16)),IF(5&lt;='Assumptions'!$D$37,K30,MIN(K29+K30,D16)),"n.a.")</x:f>
        <x:v>9208.333333333334</x:v>
      </x:c>
      <x:c r="L31" s="61" t="n">
        <x:f>IF(AND(ISNUMBER('Assumptions'!$D$37),ISNUMBER(L30),ISNUMBER(L29),ISNUMBER(D16)),IF(6&lt;='Assumptions'!$D$37,L30,MIN(L29+L30,D16)),"n.a.")</x:f>
        <x:v>9208.333333333334</x:v>
      </x:c>
      <x:c r="M31" s="61" t="n">
        <x:f>IF(AND(ISNUMBER('Assumptions'!$D$37),ISNUMBER(M30),ISNUMBER(M29),ISNUMBER(D16)),IF(7&lt;='Assumptions'!$D$37,M30,MIN(M29+M30,D16)),"n.a.")</x:f>
        <x:v>11478.521742909908</x:v>
      </x:c>
      <x:c r="N31" s="61" t="n">
        <x:f>IF(AND(ISNUMBER('Assumptions'!$D$37),ISNUMBER(N30),ISNUMBER(N29),ISNUMBER(D16)),IF(8&lt;='Assumptions'!$D$37,N30,MIN(N29+N30,D16)),"n.a.")</x:f>
        <x:v>11478.521742909908</x:v>
      </x:c>
      <x:c r="O31" s="61" t="n">
        <x:f>IF(AND(ISNUMBER('Assumptions'!$D$37),ISNUMBER(O30),ISNUMBER(O29),ISNUMBER(D16)),IF(9&lt;='Assumptions'!$D$37,O30,MIN(O29+O30,D16)),"n.a.")</x:f>
        <x:v>11478.521742909908</x:v>
      </x:c>
      <x:c r="P31" s="61" t="n">
        <x:f>IF(AND(ISNUMBER('Assumptions'!$D$37),ISNUMBER(P30),ISNUMBER(P29),ISNUMBER(D16)),IF(10&lt;='Assumptions'!$D$37,P30,MIN(P29+P30,D16)),"n.a.")</x:f>
        <x:v>11478.521742909908</x:v>
      </x:c>
      <x:c r="Q31" s="61" t="n">
        <x:f>IF(AND(ISNUMBER('Assumptions'!$D$37),ISNUMBER(Q30),ISNUMBER(Q29),ISNUMBER(D16)),IF(11&lt;='Assumptions'!$D$37,Q30,MIN(Q29+Q30,D16)),"n.a.")</x:f>
        <x:v>11478.521742909908</x:v>
      </x:c>
      <x:c r="R31" s="61" t="n">
        <x:f>IF(AND(ISNUMBER('Assumptions'!$D$37),ISNUMBER(R30),ISNUMBER(R29),ISNUMBER(D16)),IF(12&lt;='Assumptions'!$D$37,R30,MIN(R29+R30,D16)),"n.a.")</x:f>
        <x:v>11478.521742909908</x:v>
      </x:c>
    </x:row>
    <x:row r="32" ht="21" customHeight="1">
      <x:c r="A32" s="2"/>
      <x:c r="B32" s="2"/>
      <x:c r="C32" s="2" t="str">
        <x:v>Scheduled principal</x:v>
      </x:c>
      <x:c r="D32" s="2"/>
      <x:c r="E32" s="2"/>
      <x:c r="F32" s="2"/>
      <x:c r="G32" s="60" t="n">
        <x:f>IF(AND(ISNUMBER(G31),ISNUMBER(G30)),G31-G30,"n.a.")</x:f>
        <x:v>0</x:v>
      </x:c>
      <x:c r="H32" s="60" t="n">
        <x:f>IF(AND(ISNUMBER(H31),ISNUMBER(H30)),H31-H30,"n.a.")</x:f>
        <x:v>0</x:v>
      </x:c>
      <x:c r="I32" s="60" t="n">
        <x:f>IF(AND(ISNUMBER(I31),ISNUMBER(I30)),I31-I30,"n.a.")</x:f>
        <x:v>0</x:v>
      </x:c>
      <x:c r="J32" s="60" t="n">
        <x:f>IF(AND(ISNUMBER(J31),ISNUMBER(J30)),J31-J30,"n.a.")</x:f>
        <x:v>0</x:v>
      </x:c>
      <x:c r="K32" s="60" t="n">
        <x:f>IF(AND(ISNUMBER(K31),ISNUMBER(K30)),K31-K30,"n.a.")</x:f>
        <x:v>0</x:v>
      </x:c>
      <x:c r="L32" s="60" t="n">
        <x:f>IF(AND(ISNUMBER(L31),ISNUMBER(L30)),L31-L30,"n.a.")</x:f>
        <x:v>0</x:v>
      </x:c>
      <x:c r="M32" s="60" t="n">
        <x:f>IF(AND(ISNUMBER(M31),ISNUMBER(M30)),M31-M30,"n.a.")</x:f>
        <x:v>2270.1884095765745</x:v>
      </x:c>
      <x:c r="N32" s="60" t="n">
        <x:f>IF(AND(ISNUMBER(N31),ISNUMBER(N30)),N31-N30,"n.a.")</x:f>
        <x:v>2282.485263461782</x:v>
      </x:c>
      <x:c r="O32" s="60" t="n">
        <x:f>IF(AND(ISNUMBER(O31),ISNUMBER(O30)),O31-O30,"n.a.")</x:f>
        <x:v>2294.848725305532</x:v>
      </x:c>
      <x:c r="P32" s="60" t="n">
        <x:f>IF(AND(ISNUMBER(P31),ISNUMBER(P30)),P31-P30,"n.a.")</x:f>
        <x:v>2307.2791559009383</x:v>
      </x:c>
      <x:c r="Q32" s="60" t="n">
        <x:f>IF(AND(ISNUMBER(Q31),ISNUMBER(Q30)),Q31-Q30,"n.a.")</x:f>
        <x:v>2319.776917995401</x:v>
      </x:c>
      <x:c r="R32" s="60" t="n">
        <x:f>IF(AND(ISNUMBER(R31),ISNUMBER(R30)),R31-R30,"n.a.")</x:f>
        <x:v>2332.3423763012106</x:v>
      </x:c>
    </x:row>
    <x:row r="33" ht="21" customHeight="1">
      <x:c r="A33" s="2"/>
      <x:c r="B33" s="2"/>
      <x:c r="C33" s="2" t="str">
        <x:v>Ending loan balance</x:v>
      </x:c>
      <x:c r="D33" s="2"/>
      <x:c r="E33" s="2"/>
      <x:c r="F33" s="2"/>
      <x:c r="G33" s="60" t="n">
        <x:f>IF(AND(ISNUMBER(G29),ISNUMBER(G32),ISNUMBER(G38)),G29-G32-G38,"n.a.")</x:f>
        <x:v>1700000</x:v>
      </x:c>
      <x:c r="H33" s="60" t="n">
        <x:f>IF(AND(ISNUMBER(H29),ISNUMBER(H32),ISNUMBER(H38)),H29-H32-H38,"n.a.")</x:f>
        <x:v>1700000</x:v>
      </x:c>
      <x:c r="I33" s="60" t="n">
        <x:f>IF(AND(ISNUMBER(I29),ISNUMBER(I32),ISNUMBER(I38)),I29-I32-I38,"n.a.")</x:f>
        <x:v>1700000</x:v>
      </x:c>
      <x:c r="J33" s="60" t="n">
        <x:f>IF(AND(ISNUMBER(J29),ISNUMBER(J32),ISNUMBER(J38)),J29-J32-J38,"n.a.")</x:f>
        <x:v>1700000</x:v>
      </x:c>
      <x:c r="K33" s="60" t="n">
        <x:f>IF(AND(ISNUMBER(K29),ISNUMBER(K32),ISNUMBER(K38)),K29-K32-K38,"n.a.")</x:f>
        <x:v>1700000</x:v>
      </x:c>
      <x:c r="L33" s="60" t="n">
        <x:f>IF(AND(ISNUMBER(L29),ISNUMBER(L32),ISNUMBER(L38)),L29-L32-L38,"n.a.")</x:f>
        <x:v>1700000</x:v>
      </x:c>
      <x:c r="M33" s="60" t="n">
        <x:f>IF(AND(ISNUMBER(M29),ISNUMBER(M32),ISNUMBER(M38)),M29-M32-M38,"n.a.")</x:f>
        <x:v>1697729.8115904233</x:v>
      </x:c>
      <x:c r="N33" s="60" t="n">
        <x:f>IF(AND(ISNUMBER(N29),ISNUMBER(N32),ISNUMBER(N38)),N29-N32-N38,"n.a.")</x:f>
        <x:v>1695447.3263269616</x:v>
      </x:c>
      <x:c r="O33" s="60" t="n">
        <x:f>IF(AND(ISNUMBER(O29),ISNUMBER(O32),ISNUMBER(O38)),O29-O32-O38,"n.a.")</x:f>
        <x:v>1693152.477601656</x:v>
      </x:c>
      <x:c r="P33" s="60" t="n">
        <x:f>IF(AND(ISNUMBER(P29),ISNUMBER(P32),ISNUMBER(P38)),P29-P32-P38,"n.a.")</x:f>
        <x:v>1690845.198445755</x:v>
      </x:c>
      <x:c r="Q33" s="60" t="n">
        <x:f>IF(AND(ISNUMBER(Q29),ISNUMBER(Q32),ISNUMBER(Q38)),Q29-Q32-Q38,"n.a.")</x:f>
        <x:v>1688525.4215277596</x:v>
      </x:c>
      <x:c r="R33" s="60" t="n">
        <x:f>IF(AND(ISNUMBER(R29),ISNUMBER(R32),ISNUMBER(R38)),R29-R32-R38,"n.a.")</x:f>
        <x:v>1686193.0791514583</x:v>
      </x:c>
    </x:row>
    <x:row r="34" ht="21" customHeight="1">
      <x:c r="A34" s="2"/>
      <x:c r="B34" s="2"/>
      <x:c r="C34" s="2" t="str">
        <x:v>Operating cash NCF</x:v>
      </x:c>
      <x:c r="D34" s="2"/>
      <x:c r="E34" s="2"/>
      <x:c r="F34" s="2"/>
      <x:c r="G34" s="61" t="n">
        <x:f>IF(AND(ISNUMBER('Operations'!G32)),'Operations'!G32,"n.a.")</x:f>
        <x:v>65626.72</x:v>
      </x:c>
      <x:c r="H34" s="61" t="n">
        <x:f>IF(AND(ISNUMBER('Operations'!H32)),'Operations'!H32,"n.a.")</x:f>
        <x:v>57882.399999999994</x:v>
      </x:c>
      <x:c r="I34" s="61" t="n">
        <x:f>IF(AND(ISNUMBER('Operations'!I32)),'Operations'!I32,"n.a.")</x:f>
        <x:v>57882.399999999994</x:v>
      </x:c>
      <x:c r="J34" s="61" t="n">
        <x:f>IF(AND(ISNUMBER('Operations'!J32)),'Operations'!J32,"n.a.")</x:f>
        <x:v>57882.399999999994</x:v>
      </x:c>
      <x:c r="K34" s="61" t="n">
        <x:f>IF(AND(ISNUMBER('Operations'!K32)),'Operations'!K32,"n.a.")</x:f>
        <x:v>57882.399999999994</x:v>
      </x:c>
      <x:c r="L34" s="61" t="n">
        <x:f>IF(AND(ISNUMBER('Operations'!L32)),'Operations'!L32,"n.a.")</x:f>
        <x:v>57882.399999999994</x:v>
      </x:c>
      <x:c r="M34" s="61" t="n">
        <x:f>IF(AND(ISNUMBER('Operations'!M32)),'Operations'!M32,"n.a.")</x:f>
        <x:v>57882.399999999994</x:v>
      </x:c>
      <x:c r="N34" s="61" t="n">
        <x:f>IF(AND(ISNUMBER('Operations'!N32)),'Operations'!N32,"n.a.")</x:f>
        <x:v>57882.399999999994</x:v>
      </x:c>
      <x:c r="O34" s="61" t="n">
        <x:f>IF(AND(ISNUMBER('Operations'!O32)),'Operations'!O32,"n.a.")</x:f>
        <x:v>57882.399999999994</x:v>
      </x:c>
      <x:c r="P34" s="61" t="n">
        <x:f>IF(AND(ISNUMBER('Operations'!P32)),'Operations'!P32,"n.a.")</x:f>
        <x:v>57882.399999999994</x:v>
      </x:c>
      <x:c r="Q34" s="61" t="n">
        <x:f>IF(AND(ISNUMBER('Operations'!Q32)),'Operations'!Q32,"n.a.")</x:f>
        <x:v>57882.399999999994</x:v>
      </x:c>
      <x:c r="R34" s="61" t="n">
        <x:f>IF(AND(ISNUMBER('Operations'!R32)),'Operations'!R32,"n.a.")</x:f>
        <x:v>57882.399999999994</x:v>
      </x:c>
    </x:row>
    <x:row r="35" ht="21" customHeight="1">
      <x:c r="A35" s="2"/>
      <x:c r="B35" s="2"/>
      <x:c r="C35" s="2" t="str">
        <x:v>Capital-work cash</x:v>
      </x:c>
      <x:c r="D35" s="2"/>
      <x:c r="E35" s="2"/>
      <x:c r="F35" s="2"/>
      <x:c r="G35" s="61" t="n">
        <x:f>IF(AND(ISNUMBER('Operations'!G27)),'Operations'!G27,"n.a.")</x:f>
        <x:v>0</x:v>
      </x:c>
      <x:c r="H35" s="61" t="n">
        <x:f>IF(AND(ISNUMBER('Operations'!H27)),'Operations'!H27,"n.a.")</x:f>
        <x:v>0</x:v>
      </x:c>
      <x:c r="I35" s="61" t="n">
        <x:f>IF(AND(ISNUMBER('Operations'!I27)),'Operations'!I27,"n.a.")</x:f>
        <x:v>0</x:v>
      </x:c>
      <x:c r="J35" s="61" t="n">
        <x:f>IF(AND(ISNUMBER('Operations'!J27)),'Operations'!J27,"n.a.")</x:f>
        <x:v>0</x:v>
      </x:c>
      <x:c r="K35" s="61" t="n">
        <x:f>IF(AND(ISNUMBER('Operations'!K27)),'Operations'!K27,"n.a.")</x:f>
        <x:v>0</x:v>
      </x:c>
      <x:c r="L35" s="61" t="n">
        <x:f>IF(AND(ISNUMBER('Operations'!L27)),'Operations'!L27,"n.a.")</x:f>
        <x:v>0</x:v>
      </x:c>
      <x:c r="M35" s="61" t="n">
        <x:f>IF(AND(ISNUMBER('Operations'!M27)),'Operations'!M27,"n.a.")</x:f>
        <x:v>0</x:v>
      </x:c>
      <x:c r="N35" s="61" t="n">
        <x:f>IF(AND(ISNUMBER('Operations'!N27)),'Operations'!N27,"n.a.")</x:f>
        <x:v>0</x:v>
      </x:c>
      <x:c r="O35" s="61" t="n">
        <x:f>IF(AND(ISNUMBER('Operations'!O27)),'Operations'!O27,"n.a.")</x:f>
        <x:v>95000</x:v>
      </x:c>
      <x:c r="P35" s="61" t="n">
        <x:f>IF(AND(ISNUMBER('Operations'!P27)),'Operations'!P27,"n.a.")</x:f>
        <x:v>0</x:v>
      </x:c>
      <x:c r="Q35" s="61" t="n">
        <x:f>IF(AND(ISNUMBER('Operations'!Q27)),'Operations'!Q27,"n.a.")</x:f>
        <x:v>0</x:v>
      </x:c>
      <x:c r="R35" s="61" t="n">
        <x:f>IF(AND(ISNUMBER('Operations'!R27)),'Operations'!R27,"n.a.")</x:f>
        <x:v>0</x:v>
      </x:c>
    </x:row>
    <x:row r="36" ht="21" customHeight="1">
      <x:c r="A36" s="2"/>
      <x:c r="B36" s="2"/>
      <x:c r="C36" s="2" t="str">
        <x:v>Cash after debt and capital</x:v>
      </x:c>
      <x:c r="D36" s="2"/>
      <x:c r="E36" s="2"/>
      <x:c r="F36" s="2"/>
      <x:c r="G36" s="60" t="n">
        <x:f>IF(AND(ISNUMBER(G34),ISNUMBER(G31),ISNUMBER(G35),ISNUMBER(G38)),G34-G31-G35-G38,"n.a.")</x:f>
        <x:v>56418.386666666665</x:v>
      </x:c>
      <x:c r="H36" s="60" t="n">
        <x:f>IF(AND(ISNUMBER(H34),ISNUMBER(H31),ISNUMBER(H35),ISNUMBER(H38)),H34-H31-H35-H38,"n.a.")</x:f>
        <x:v>48674.06666666666</x:v>
      </x:c>
      <x:c r="I36" s="60" t="n">
        <x:f>IF(AND(ISNUMBER(I34),ISNUMBER(I31),ISNUMBER(I35),ISNUMBER(I38)),I34-I31-I35-I38,"n.a.")</x:f>
        <x:v>48674.06666666666</x:v>
      </x:c>
      <x:c r="J36" s="60" t="n">
        <x:f>IF(AND(ISNUMBER(J34),ISNUMBER(J31),ISNUMBER(J35),ISNUMBER(J38)),J34-J31-J35-J38,"n.a.")</x:f>
        <x:v>48674.06666666666</x:v>
      </x:c>
      <x:c r="K36" s="60" t="n">
        <x:f>IF(AND(ISNUMBER(K34),ISNUMBER(K31),ISNUMBER(K35),ISNUMBER(K38)),K34-K31-K35-K38,"n.a.")</x:f>
        <x:v>48674.06666666666</x:v>
      </x:c>
      <x:c r="L36" s="60" t="n">
        <x:f>IF(AND(ISNUMBER(L34),ISNUMBER(L31),ISNUMBER(L35),ISNUMBER(L38)),L34-L31-L35-L38,"n.a.")</x:f>
        <x:v>48674.06666666666</x:v>
      </x:c>
      <x:c r="M36" s="60" t="n">
        <x:f>IF(AND(ISNUMBER(M34),ISNUMBER(M31),ISNUMBER(M35),ISNUMBER(M38)),M34-M31-M35-M38,"n.a.")</x:f>
        <x:v>46403.87825709009</x:v>
      </x:c>
      <x:c r="N36" s="60" t="n">
        <x:f>IF(AND(ISNUMBER(N34),ISNUMBER(N31),ISNUMBER(N35),ISNUMBER(N38)),N34-N31-N35-N38,"n.a.")</x:f>
        <x:v>46403.87825709009</x:v>
      </x:c>
      <x:c r="O36" s="60" t="n">
        <x:f>IF(AND(ISNUMBER(O34),ISNUMBER(O31),ISNUMBER(O35),ISNUMBER(O38)),O34-O31-O35-O38,"n.a.")</x:f>
        <x:v>-48596.12174290991</x:v>
      </x:c>
      <x:c r="P36" s="60" t="n">
        <x:f>IF(AND(ISNUMBER(P34),ISNUMBER(P31),ISNUMBER(P35),ISNUMBER(P38)),P34-P31-P35-P38,"n.a.")</x:f>
        <x:v>46403.87825709009</x:v>
      </x:c>
      <x:c r="Q36" s="60" t="n">
        <x:f>IF(AND(ISNUMBER(Q34),ISNUMBER(Q31),ISNUMBER(Q35),ISNUMBER(Q38)),Q34-Q31-Q35-Q38,"n.a.")</x:f>
        <x:v>46403.87825709009</x:v>
      </x:c>
      <x:c r="R36" s="60" t="n">
        <x:f>IF(AND(ISNUMBER(R34),ISNUMBER(R31),ISNUMBER(R35),ISNUMBER(R38)),R34-R31-R35-R38,"n.a.")</x:f>
        <x:v>46403.87825709009</x:v>
      </x:c>
    </x:row>
    <x:row r="37" ht="21" customHeight="1">
      <x:c r="A37" s="2"/>
      <x:c r="B37" s="2"/>
      <x:c r="C37" s="2" t="str">
        <x:v>Ending operating cash</x:v>
      </x:c>
      <x:c r="D37" s="2"/>
      <x:c r="E37" s="2"/>
      <x:c r="F37" s="2"/>
      <x:c r="G37" s="61" t="n">
        <x:f>IF(AND(ISNUMBER('Assumptions'!$D$22),ISNUMBER(G36)),'Assumptions'!$D$22+G36,"n.a.")</x:f>
        <x:v>206418.38666666666</x:v>
      </x:c>
      <x:c r="H37" s="60" t="n">
        <x:f>IF(AND(ISNUMBER(G37),ISNUMBER(H36)),G37+H36,"n.a.")</x:f>
        <x:v>255092.4533333333</x:v>
      </x:c>
      <x:c r="I37" s="60" t="n">
        <x:f>IF(AND(ISNUMBER(H37),ISNUMBER(I36)),H37+I36,"n.a.")</x:f>
        <x:v>303766.51999999996</x:v>
      </x:c>
      <x:c r="J37" s="60" t="n">
        <x:f>IF(AND(ISNUMBER(I37),ISNUMBER(J36)),I37+J36,"n.a.")</x:f>
        <x:v>352440.5866666666</x:v>
      </x:c>
      <x:c r="K37" s="60" t="n">
        <x:f>IF(AND(ISNUMBER(J37),ISNUMBER(K36)),J37+K36,"n.a.")</x:f>
        <x:v>401114.65333333326</x:v>
      </x:c>
      <x:c r="L37" s="60" t="n">
        <x:f>IF(AND(ISNUMBER(K37),ISNUMBER(L36)),K37+L36,"n.a.")</x:f>
        <x:v>449788.7199999999</x:v>
      </x:c>
      <x:c r="M37" s="60" t="n">
        <x:f>IF(AND(ISNUMBER(L37),ISNUMBER(M36)),L37+M36,"n.a.")</x:f>
        <x:v>496192.59825709</x:v>
      </x:c>
      <x:c r="N37" s="60" t="n">
        <x:f>IF(AND(ISNUMBER(M37),ISNUMBER(N36)),M37+N36,"n.a.")</x:f>
        <x:v>542596.4765141801</x:v>
      </x:c>
      <x:c r="O37" s="60" t="n">
        <x:f>IF(AND(ISNUMBER(N37),ISNUMBER(O36)),N37+O36,"n.a.")</x:f>
        <x:v>494000.3547712702</x:v>
      </x:c>
      <x:c r="P37" s="60" t="n">
        <x:f>IF(AND(ISNUMBER(O37),ISNUMBER(P36)),O37+P36,"n.a.")</x:f>
        <x:v>540404.2330283603</x:v>
      </x:c>
      <x:c r="Q37" s="60" t="n">
        <x:f>IF(AND(ISNUMBER(P37),ISNUMBER(Q36)),P37+Q36,"n.a.")</x:f>
        <x:v>586808.1112854504</x:v>
      </x:c>
      <x:c r="R37" s="60" t="n">
        <x:f>IF(AND(ISNUMBER(Q37),ISNUMBER(R36)),Q37+R36,"n.a.")</x:f>
        <x:v>633211.9895425405</x:v>
      </x:c>
    </x:row>
    <x:row r="38" ht="21" customHeight="1">
      <x:c r="A38" s="2"/>
      <x:c r="B38" s="2"/>
      <x:c r="C38" s="2" t="str">
        <x:v>Maturity principal cash repayment</x:v>
      </x:c>
      <x:c r="D38" s="2"/>
      <x:c r="E38" s="2"/>
      <x:c r="F38" s="2"/>
      <x:c r="G38" s="61" t="n">
        <x:f>IF(AND(ISNUMBER('Assumptions'!$D$40),ISNUMBER(G29),ISNUMBER(G32)),IF(1='Assumptions'!$D$40,G29-G32,0),"n.a.")</x:f>
        <x:v>0</x:v>
      </x:c>
      <x:c r="H38" s="61" t="n">
        <x:f>IF(AND(ISNUMBER('Assumptions'!$D$40),ISNUMBER(H29),ISNUMBER(H32)),IF(2='Assumptions'!$D$40,H29-H32,0),"n.a.")</x:f>
        <x:v>0</x:v>
      </x:c>
      <x:c r="I38" s="61" t="n">
        <x:f>IF(AND(ISNUMBER('Assumptions'!$D$40),ISNUMBER(I29),ISNUMBER(I32)),IF(3='Assumptions'!$D$40,I29-I32,0),"n.a.")</x:f>
        <x:v>0</x:v>
      </x:c>
      <x:c r="J38" s="61" t="n">
        <x:f>IF(AND(ISNUMBER('Assumptions'!$D$40),ISNUMBER(J29),ISNUMBER(J32)),IF(4='Assumptions'!$D$40,J29-J32,0),"n.a.")</x:f>
        <x:v>0</x:v>
      </x:c>
      <x:c r="K38" s="61" t="n">
        <x:f>IF(AND(ISNUMBER('Assumptions'!$D$40),ISNUMBER(K29),ISNUMBER(K32)),IF(5='Assumptions'!$D$40,K29-K32,0),"n.a.")</x:f>
        <x:v>0</x:v>
      </x:c>
      <x:c r="L38" s="61" t="n">
        <x:f>IF(AND(ISNUMBER('Assumptions'!$D$40),ISNUMBER(L29),ISNUMBER(L32)),IF(6='Assumptions'!$D$40,L29-L32,0),"n.a.")</x:f>
        <x:v>0</x:v>
      </x:c>
      <x:c r="M38" s="61" t="n">
        <x:f>IF(AND(ISNUMBER('Assumptions'!$D$40),ISNUMBER(M29),ISNUMBER(M32)),IF(7='Assumptions'!$D$40,M29-M32,0),"n.a.")</x:f>
        <x:v>0</x:v>
      </x:c>
      <x:c r="N38" s="61" t="n">
        <x:f>IF(AND(ISNUMBER('Assumptions'!$D$40),ISNUMBER(N29),ISNUMBER(N32)),IF(8='Assumptions'!$D$40,N29-N32,0),"n.a.")</x:f>
        <x:v>0</x:v>
      </x:c>
      <x:c r="O38" s="61" t="n">
        <x:f>IF(AND(ISNUMBER('Assumptions'!$D$40),ISNUMBER(O29),ISNUMBER(O32)),IF(9='Assumptions'!$D$40,O29-O32,0),"n.a.")</x:f>
        <x:v>0</x:v>
      </x:c>
      <x:c r="P38" s="61" t="n">
        <x:f>IF(AND(ISNUMBER('Assumptions'!$D$40),ISNUMBER(P29),ISNUMBER(P32)),IF(10='Assumptions'!$D$40,P29-P32,0),"n.a.")</x:f>
        <x:v>0</x:v>
      </x:c>
      <x:c r="Q38" s="61" t="n">
        <x:f>IF(AND(ISNUMBER('Assumptions'!$D$40),ISNUMBER(Q29),ISNUMBER(Q32)),IF(11='Assumptions'!$D$40,Q29-Q32,0),"n.a.")</x:f>
        <x:v>0</x:v>
      </x:c>
      <x:c r="R38" s="61"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52" t="n">
        <x:f>IF(AND(ISNUMBER(G31),ISNUMBER(R31)),IF(COUNT(G31:R31)=12,SUM(G31:R31),"n.a."),"n.a.")</x:f>
        <x:v>124121.13045745948</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62" t="n">
        <x:f>IF(AND(ISNUMBER(D43),ISNUMBER(D9)),IF(D43=0,"n.a.",D9/D43),"n.a.")</x:f>
        <x:v>5.65844926976969</x:v>
      </x:c>
      <x:c r="E44" s="2"/>
      <x:c r="F44" s="2"/>
      <x:c r="G44" s="2"/>
      <x:c r="H44" s="2"/>
      <x:c r="I44" s="2"/>
      <x:c r="J44" s="2"/>
      <x:c r="K44" s="2"/>
      <x:c r="L44" s="2"/>
      <x:c r="M44" s="2"/>
      <x:c r="N44" s="2"/>
      <x:c r="O44" s="2"/>
      <x:c r="P44" s="2"/>
      <x:c r="Q44" s="2"/>
      <x:c r="R44" s="2"/>
    </x:row>
    <x:row r="45" ht="21" customHeight="1">
      <x:c r="A45" s="2"/>
      <x:c r="B45" s="2"/>
      <x:c r="C45" s="2" t="str">
        <x:v>Year-end scheduled principal</x:v>
      </x:c>
      <x:c r="D45" s="52" t="n">
        <x:f>IF(AND(ISNUMBER(R33)),R33,"n.a.")</x:f>
        <x:v>1686193.0791514583</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52" t="n">
        <x:f>IF(AND(ISNUMBER(G37),ISNUMBER(R37)),IF(COUNT(G37:R37)=12,MAX(0,-MIN(G37:R37)),"n.a."),"n.a.")</x:f>
        <x:v>0</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52" t="n">
        <x:f>IF(AND(ISNUMBER(D19),ISNUMBER(D46)),D19-D46,"n.a.")</x:f>
        <x:v>125000</x:v>
      </x:c>
      <x:c r="E47" s="2"/>
      <x:c r="F47" s="2"/>
      <x:c r="G47" s="2"/>
      <x:c r="H47" s="2"/>
      <x:c r="I47" s="2"/>
      <x:c r="J47" s="2"/>
      <x:c r="K47" s="2"/>
      <x:c r="L47" s="2"/>
      <x:c r="M47" s="2"/>
      <x:c r="N47" s="2"/>
      <x:c r="O47" s="2"/>
      <x:c r="P47" s="2"/>
      <x:c r="Q47" s="2"/>
      <x:c r="R47" s="2"/>
    </x:row>
    <x:row r="48" ht="21" customHeight="1">
      <x:c r="A48" s="2"/>
      <x:c r="B48" s="2"/>
      <x:c r="C48" s="2" t="str">
        <x:v>Year-end operating cash</x:v>
      </x:c>
      <x:c r="D48" s="52" t="n">
        <x:f>IF(AND(ISNUMBER(R37)),R37,"n.a.")</x:f>
        <x:v>633211.9895425405</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71" t="n">
        <x:f>29-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Assumptions'!$D$73,'Assumptions'!$D$76,'Assumptions'!$D$79,'Assumptions'!$D$82,'Assumptions'!$D$85,'Assumptions'!$D$88,'Assumptions'!$D$91,'Assumptions'!$D$94)</x:f>
        <x:v>0</x:v>
      </x:c>
      <x:c r="E10" s="2"/>
      <x:c r="F10" s="2"/>
      <x:c r="G10" s="2"/>
      <x:c r="H10" s="2"/>
      <x:c r="I10" s="2"/>
      <x:c r="J10" s="2"/>
    </x:row>
    <x:row r="11" ht="21" customHeight="1">
      <x:c r="A11" s="2"/>
      <x:c r="B11" s="2"/>
      <x:c r="C11" s="2" t="str">
        <x:v>Source rows needing correction</x:v>
      </x:c>
      <x:c r="D11" s="71" t="n">
        <x:f>COUNTIFS('Service Bays'!N10:N21,"Missing / invalid input")</x:f>
        <x:v>0</x:v>
      </x:c>
      <x:c r="E11" s="2"/>
      <x:c r="F11" s="2"/>
      <x:c r="G11" s="2"/>
      <x:c r="H11" s="2"/>
      <x:c r="I11" s="2"/>
      <x:c r="J11" s="2"/>
    </x:row>
    <x:row r="12" ht="21" customHeight="1">
      <x:c r="A12" s="2"/>
      <x:c r="B12" s="2"/>
      <x:c r="C12" s="2" t="str">
        <x:v>Residual cash-cost reconciliation</x:v>
      </x:c>
      <x:c r="D12" s="71" t="n">
        <x:f>IF(AND(ISNUMBER('Operations'!E30),ISNUMBER('Operations'!E21),ISNUMBER('Operations'!E29)),'Operations'!E30-'Operations'!E21+'Operations'!E29,"n.a.")</x:f>
        <x:v>4.656612873077393e-10</x:v>
      </x:c>
      <x:c r="E12" s="2"/>
      <x:c r="F12" s="2"/>
      <x:c r="G12" s="2"/>
      <x:c r="H12" s="2"/>
      <x:c r="I12" s="2"/>
      <x:c r="J12" s="2"/>
    </x:row>
    <x:row r="13" ht="21" customHeight="1">
      <x:c r="A13" s="2"/>
      <x:c r="B13" s="2"/>
      <x:c r="C13" s="2" t="str">
        <x:v>NCF reserve reconciliation</x:v>
      </x:c>
      <x:c r="D13" s="71" t="n">
        <x:f>IF(AND(ISNUMBER('Operations'!E32),ISNUMBER('Operations'!E30),ISNUMBER('Operations'!E31)),'Operations'!E32-'Operations'!E30+'Operations'!E31,"n.a.")</x:f>
        <x:v>0</x:v>
      </x:c>
      <x:c r="E13" s="2"/>
      <x:c r="F13" s="2"/>
      <x:c r="G13" s="2"/>
      <x:c r="H13" s="2"/>
      <x:c r="I13" s="2"/>
      <x:c r="J13" s="2"/>
    </x:row>
    <x:row r="14" ht="21" customHeight="1">
      <x:c r="A14" s="2"/>
      <x:c r="B14" s="2"/>
      <x:c r="C14" s="2" t="str">
        <x:v>Debt principal conservation</x:v>
      </x:c>
      <x:c r="D14" s="71" t="n">
        <x:f>IF(COUNT('Debt and Funding'!G32:R32)=12,'Debt and Funding'!D14-SUM('Debt and Funding'!G32:R32)-SUM('Debt and Funding'!G38:R38)-'Debt and Funding'!D45,"n.a.")</x:f>
        <x:v>2.3283064365386963e-10</x:v>
      </x:c>
      <x:c r="E14" s="2"/>
      <x:c r="F14" s="2"/>
      <x:c r="G14" s="2"/>
      <x:c r="H14" s="2"/>
      <x:c r="I14" s="2"/>
      <x:c r="J14" s="2"/>
    </x:row>
    <x:row r="15" ht="21" customHeight="1">
      <x:c r="A15" s="2"/>
      <x:c r="B15" s="2"/>
      <x:c r="C15" s="2" t="str">
        <x:v>Operating cash conservation</x:v>
      </x:c>
      <x:c r="D15" s="71" t="n">
        <x:f>IF(COUNT('Debt and Funding'!G34:R36)=36,'Debt and Funding'!R37-'Assumptions'!$D$22-SUM('Debt and Funding'!G34:R34)+SUM('Debt and Funding'!G31:R31)+SUM('Debt and Funding'!G35:R35)+SUM('Debt and Funding'!G38:R38),"n.a.")</x:f>
        <x:v>-1.1641532182693481e-10</x:v>
      </x:c>
      <x:c r="E15" s="2"/>
      <x:c r="F15" s="2"/>
      <x:c r="G15" s="2"/>
      <x:c r="H15" s="2"/>
      <x:c r="I15" s="2"/>
      <x:c r="J15" s="2"/>
    </x:row>
    <x:row r="16" ht="21" customHeight="1">
      <x:c r="A16" s="2"/>
      <x:c r="B16" s="2"/>
      <x:c r="C16" s="2" t="str">
        <x:v>Closing sources less uses</x:v>
      </x:c>
      <x:c r="D16" s="71"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Net collectible billings are collected partly in the current month and the balance next</x:v>
      </x:c>
      <x:c r="D23" s="2"/>
      <x:c r="E23" s="2"/>
      <x:c r="F23" s="2"/>
      <x:c r="G23" s="2"/>
      <x:c r="H23" s="2"/>
      <x:c r="I23" s="2"/>
      <x:c r="J23" s="2"/>
    </x:row>
    <x:row r="24" ht="21" customHeight="1">
      <x:c r="A24" s="2"/>
      <x:c r="B24" s="2"/>
      <x:c r="C24" s="2" t="str">
        <x:v>month. Opening collectible receivables are collected in month 1. No additional</x:v>
      </x:c>
      <x:c r="D24" s="2"/>
      <x:c r="E24" s="2"/>
      <x:c r="F24" s="2"/>
      <x:c r="G24" s="2"/>
      <x:c r="H24" s="2"/>
      <x:c r="I24" s="2"/>
      <x:c r="J24" s="2"/>
    </x:row>
    <x:row r="25" ht="21" customHeight="1">
      <x:c r="A25" s="2"/>
      <x:c r="B25" s="2"/>
      <x:c r="C25" s="2" t="str">
        <x:v>receivable/working-capital deduction is made. Reconcile actual aging, denials and</x:v>
      </x:c>
      <x:c r="D25" s="2"/>
      <x:c r="E25" s="2"/>
      <x:c r="F25" s="2"/>
      <x:c r="G25" s="2"/>
      <x:c r="H25" s="2"/>
      <x:c r="I25" s="2"/>
      <x:c r="J25" s="2"/>
    </x:row>
    <x:row r="26" ht="21" customHeight="1">
      <x:c r="A26" s="2"/>
      <x:c r="B26" s="2"/>
      <x:c r="C26" s="2" t="str">
        <x:v>payment timing separately.</x:v>
      </x:c>
      <x:c r="D26" s="2"/>
      <x:c r="E26" s="2"/>
      <x:c r="F26" s="2"/>
      <x:c r="G26" s="2"/>
      <x:c r="H26" s="2"/>
      <x:c r="I26" s="2"/>
      <x:c r="J26" s="2"/>
    </x:row>
    <x:row r="27" ht="21" customHeight="1">
      <x:c r="A27" s="2"/>
      <x:c r="B27" s="2"/>
      <x:c r="C27" s="2"/>
      <x:c r="D27" s="2"/>
      <x:c r="E27" s="2"/>
      <x:c r="F27" s="2"/>
      <x:c r="G27" s="2"/>
      <x:c r="H27" s="2"/>
      <x:c r="I27" s="2"/>
      <x:c r="J27" s="2"/>
    </x:row>
    <x:row r="28" ht="21" customHeight="1">
      <x:c r="A28" s="2"/>
      <x:c r="B28" s="2"/>
      <x:c r="C28" s="2" t="str">
        <x:v>Bay hours and saleable fraction constrain sold labor hours; staffing and actual</x:v>
      </x:c>
      <x:c r="D28" s="2"/>
      <x:c r="E28" s="2"/>
      <x:c r="F28" s="2"/>
      <x:c r="G28" s="2"/>
      <x:c r="H28" s="2"/>
      <x:c r="I28" s="2"/>
      <x:c r="J28" s="2"/>
    </x:row>
    <x:row r="29" ht="21" customHeight="1">
      <x:c r="A29" s="2"/>
      <x:c r="B29" s="2"/>
      <x:c r="C29" s="2" t="str">
        <x:v>repair-order evidence must support that capacity. Parts revenue and cost are separate.</x:v>
      </x:c>
      <x:c r="D29" s="2"/>
      <x:c r="E29" s="2"/>
      <x:c r="F29" s="2"/>
      <x:c r="G29" s="2"/>
      <x:c r="H29" s="2"/>
      <x:c r="I29" s="2"/>
      <x:c r="J29" s="2"/>
    </x:row>
    <x:row r="30" ht="21" customHeight="1">
      <x:c r="A30" s="2"/>
      <x:c r="B30" s="2"/>
      <x:c r="C30" s="2" t="str">
        <x:v>Inputs exclude sales tax and customer deposits for unfinished work.</x:v>
      </x:c>
      <x:c r="D30" s="2"/>
      <x:c r="E30" s="2"/>
      <x:c r="F30" s="2"/>
      <x:c r="G30" s="2"/>
      <x:c r="H30" s="2"/>
      <x:c r="I30" s="2"/>
      <x:c r="J30" s="2"/>
    </x:row>
    <x:row r="31" ht="21" customHeight="1">
      <x:c r="A31" s="2"/>
      <x:c r="B31" s="2"/>
      <x:c r="C31" s="2"/>
      <x:c r="D31" s="2"/>
      <x:c r="E31" s="2"/>
      <x:c r="F31" s="2"/>
      <x:c r="G31" s="2"/>
      <x:c r="H31" s="2"/>
      <x:c r="I31" s="2"/>
      <x:c r="J31" s="2"/>
    </x:row>
    <x:row r="32" ht="21" customHeight="1">
      <x:c r="A32" s="2"/>
      <x:c r="B32" s="2"/>
      <x:c r="C32" s="2" t="str">
        <x:v>Collection realization is after discounts, warranty adjustments and expected losses.</x:v>
      </x:c>
      <x:c r="D32" s="2"/>
      <x:c r="E32" s="2"/>
      <x:c r="F32" s="2"/>
      <x:c r="G32" s="2"/>
      <x:c r="H32" s="2"/>
      <x:c r="I32" s="2"/>
      <x:c r="J32" s="2"/>
    </x:row>
    <x:row r="33" ht="21" customHeight="1">
      <x:c r="A33" s="2"/>
      <x:c r="B33" s="2"/>
      <x:c r="C33" s="2" t="str">
        <x:v>Parts-cost cash is assumed current with no inventory/payable change; model that separate</x:v>
      </x:c>
      <x:c r="D33" s="2"/>
      <x:c r="E33" s="2"/>
      <x:c r="F33" s="2"/>
      <x:c r="G33" s="2"/>
      <x:c r="H33" s="2"/>
      <x:c r="I33" s="2"/>
      <x:c r="J33" s="2"/>
    </x:row>
    <x:row r="34" ht="21" customHeight="1">
      <x:c r="A34" s="2"/>
      <x:c r="B34" s="2"/>
      <x:c r="C34" s="2" t="str">
        <x:v>cash requirement when material.</x:v>
      </x:c>
      <x:c r="D34" s="2"/>
      <x:c r="E34" s="2"/>
      <x:c r="F34" s="2"/>
      <x:c r="G34" s="2"/>
      <x:c r="H34" s="2"/>
      <x:c r="I34" s="2"/>
      <x:c r="J34" s="2"/>
    </x:row>
    <x:row r="35" ht="21" customHeight="1">
      <x:c r="A35" s="2"/>
      <x:c r="B35" s="2"/>
      <x:c r="C35" s="2"/>
      <x:c r="D35" s="2"/>
      <x:c r="E35" s="2"/>
      <x:c r="F35" s="2"/>
      <x:c r="G35" s="2"/>
      <x:c r="H35" s="2"/>
      <x:c r="I35" s="2"/>
      <x:c r="J35" s="2"/>
    </x:row>
    <x:row r="36" ht="21" customHeight="1">
      <x:c r="A36" s="2"/>
      <x:c r="B36" s="2"/>
      <x:c r="C36" s="2" t="str">
        <x:v>Combined cash is an operating-business and property measure, not property NOI. Other</x:v>
      </x:c>
      <x:c r="D36" s="2"/>
      <x:c r="E36" s="2"/>
      <x:c r="F36" s="2"/>
      <x:c r="G36" s="2"/>
      <x:c r="H36" s="2"/>
      <x:c r="I36" s="2"/>
      <x:c r="J36" s="2"/>
    </x:row>
    <x:row r="37" ht="21" customHeight="1">
      <x:c r="A37" s="2"/>
      <x:c r="B37" s="2"/>
      <x:c r="C37" s="2" t="str">
        <x:v>business debt, taxes/distributions and maintenance capital are deducted once before the</x:v>
      </x:c>
      <x:c r="D37" s="2"/>
      <x:c r="E37" s="2"/>
      <x:c r="F37" s="2"/>
      <x:c r="G37" s="2"/>
      <x:c r="H37" s="2"/>
      <x:c r="I37" s="2"/>
      <x:c r="J37" s="2"/>
    </x:row>
    <x:row r="38" ht="21" customHeight="1">
      <x:c r="A38" s="2"/>
      <x:c r="B38" s="2"/>
      <x:c r="C38" s="2" t="str">
        <x:v>residual property-debt proxy.</x:v>
      </x:c>
      <x:c r="D38" s="2"/>
      <x:c r="E38" s="2"/>
      <x:c r="F38" s="2"/>
      <x:c r="G38" s="2"/>
      <x:c r="H38" s="2"/>
      <x:c r="I38" s="2"/>
      <x:c r="J38" s="2"/>
    </x:row>
    <x:row r="39" ht="21" customHeight="1">
      <x:c r="A39" s="2"/>
      <x:c r="B39" s="2"/>
      <x:c r="C39" s="2"/>
      <x:c r="D39" s="2"/>
      <x:c r="E39" s="2"/>
      <x:c r="F39" s="2"/>
      <x:c r="G39" s="2"/>
      <x:c r="H39" s="2"/>
      <x:c r="I39" s="2"/>
      <x:c r="J39" s="2"/>
    </x:row>
    <x:row r="40" ht="21" customHeight="1">
      <x:c r="A40" s="2"/>
      <x:c r="B40" s="2"/>
      <x:c r="C40" s="2" t="str">
        <x:v>Value and acquisition price refer only to the real estate. LTV never applies to</x:v>
      </x:c>
      <x:c r="D40" s="2"/>
      <x:c r="E40" s="2"/>
      <x:c r="F40" s="2"/>
      <x:c r="G40" s="2"/>
      <x:c r="H40" s="2"/>
      <x:c r="I40" s="2"/>
      <x:c r="J40" s="2"/>
    </x:row>
    <x:row r="41" ht="21" customHeight="1">
      <x:c r="A41" s="2"/>
      <x:c r="B41" s="2"/>
      <x:c r="C41" s="2" t="str">
        <x:v>enterprise value, goodwill, inventory or equipment. The modeled loan is property debt</x:v>
      </x:c>
      <x:c r="D41" s="2"/>
      <x:c r="E41" s="2"/>
      <x:c r="F41" s="2"/>
      <x:c r="G41" s="2"/>
      <x:c r="H41" s="2"/>
      <x:c r="I41" s="2"/>
      <x:c r="J41" s="2"/>
    </x:row>
    <x:row r="42" ht="21" customHeight="1">
      <x:c r="A42" s="2"/>
      <x:c r="B42" s="2"/>
      <x:c r="C42" s="2" t="str">
        <x:v>supported by residual combined cash, not a business-acquisition valuation or program</x:v>
      </x:c>
      <x:c r="D42" s="2"/>
      <x:c r="E42" s="2"/>
      <x:c r="F42" s="2"/>
      <x:c r="G42" s="2"/>
      <x:c r="H42" s="2"/>
      <x:c r="I42" s="2"/>
      <x:c r="J42" s="2"/>
    </x:row>
    <x:row r="43" ht="21" customHeight="1">
      <x:c r="A43" s="2"/>
      <x:c r="B43" s="2"/>
      <x:c r="C43" s="2" t="str">
        <x:v>eligibility test.</x:v>
      </x:c>
      <x:c r="D43" s="2"/>
      <x:c r="E43" s="2"/>
      <x:c r="F43" s="2"/>
      <x:c r="G43" s="2"/>
      <x:c r="H43" s="2"/>
      <x:c r="I43" s="2"/>
      <x:c r="J43" s="2"/>
    </x:row>
    <x:row r="44" ht="21" customHeight="1">
      <x:c r="A44" s="2"/>
      <x:c r="B44" s="2"/>
      <x:c r="C44" s="2"/>
      <x:c r="D44" s="2"/>
      <x:c r="E44" s="2"/>
      <x:c r="F44" s="2"/>
      <x:c r="G44" s="2"/>
      <x:c r="H44" s="2"/>
      <x:c r="I44" s="2"/>
      <x:c r="J44" s="2"/>
    </x:row>
    <x:row r="45" ht="21" customHeight="1">
      <x:c r="A45" s="2"/>
      <x:c r="B45" s="2"/>
      <x:c r="C45" s="2" t="str">
        <x:v>Business purchases, equipment purchases at closing and goodwill are excluded from the</x:v>
      </x:c>
      <x:c r="D45" s="2"/>
      <x:c r="E45" s="2"/>
      <x:c r="F45" s="2"/>
      <x:c r="G45" s="2"/>
      <x:c r="H45" s="2"/>
      <x:c r="I45" s="2"/>
      <x:c r="J45" s="2"/>
    </x:row>
    <x:row r="46" ht="21" customHeight="1">
      <x:c r="A46" s="2"/>
      <x:c r="B46" s="2"/>
      <x:c r="C46" s="2" t="str">
        <x:v>example acquisition uses. Reconcile their separate funding and resulting debt</x:v>
      </x:c>
      <x:c r="D46" s="2"/>
      <x:c r="E46" s="2"/>
      <x:c r="F46" s="2"/>
      <x:c r="G46" s="2"/>
      <x:c r="H46" s="2"/>
      <x:c r="I46" s="2"/>
      <x:c r="J46" s="2"/>
    </x:row>
    <x:row r="47" ht="21" customHeight="1">
      <x:c r="A47" s="2"/>
      <x:c r="B47" s="2"/>
      <x:c r="C47" s="2" t="str">
        <x:v>obligations before relying on the property-only equity gap. Include additional</x:v>
      </x:c>
      <x:c r="D47" s="2"/>
      <x:c r="E47" s="2"/>
      <x:c r="F47" s="2"/>
      <x:c r="G47" s="2"/>
      <x:c r="H47" s="2"/>
      <x:c r="I47" s="2"/>
      <x:c r="J47" s="2"/>
    </x:row>
    <x:row r="48" ht="21" customHeight="1">
      <x:c r="A48" s="2"/>
      <x:c r="B48" s="2"/>
      <x:c r="C48" s="2" t="str">
        <x:v>post-closing equipment or expansion cash in the capital schedule once.</x:v>
      </x:c>
      <x:c r="D48" s="2"/>
      <x:c r="E48" s="2"/>
      <x:c r="F48" s="2"/>
      <x:c r="G48" s="2"/>
      <x:c r="H48" s="2"/>
      <x:c r="I48" s="2"/>
      <x:c r="J48" s="2"/>
    </x:row>
    <x:row r="49" ht="21" customHeight="1">
      <x:c r="A49" s="2"/>
      <x:c r="B49" s="2"/>
      <x:c r="C49" s="2"/>
      <x:c r="D49" s="2"/>
      <x:c r="E49" s="2"/>
      <x:c r="F49" s="2"/>
      <x:c r="G49" s="2"/>
      <x:c r="H49" s="2"/>
      <x:c r="I49" s="2"/>
      <x:c r="J49" s="2"/>
    </x:row>
    <x:row r="50" ht="21" customHeight="1">
      <x:c r="A50" s="2"/>
      <x:c r="B50" s="2"/>
      <x:c r="C50" s="2" t="str">
        <x:v>Related-party rent is shown and eliminated. External property costs exclude mortgage</x:v>
      </x:c>
      <x:c r="D50" s="2"/>
      <x:c r="E50" s="2"/>
      <x:c r="F50" s="2"/>
      <x:c r="G50" s="2"/>
      <x:c r="H50" s="2"/>
      <x:c r="I50" s="2"/>
      <x:c r="J50" s="2"/>
    </x:row>
    <x:row r="51" ht="21" customHeight="1">
      <x:c r="A51" s="2"/>
      <x:c r="B51" s="2"/>
      <x:c r="C51" s="2" t="str">
        <x:v>debt and must not also appear in business operating inputs. No intercompany transfer</x:v>
      </x:c>
      <x:c r="D51" s="2"/>
      <x:c r="E51" s="2"/>
      <x:c r="F51" s="2"/>
      <x:c r="G51" s="2"/>
      <x:c r="H51" s="2"/>
      <x:c r="I51" s="2"/>
      <x:c r="J51" s="2"/>
    </x:row>
    <x:row r="52" ht="21" customHeight="1">
      <x:c r="A52" s="2"/>
      <x:c r="B52" s="2"/>
      <x:c r="C52" s="2" t="str">
        <x:v>permission is established.</x:v>
      </x:c>
      <x:c r="D52" s="2"/>
      <x:c r="E52" s="2"/>
      <x:c r="F52" s="2"/>
      <x:c r="G52" s="2"/>
      <x:c r="H52" s="2"/>
      <x:c r="I52" s="2"/>
      <x:c r="J52" s="2"/>
    </x:row>
    <x:row r="53" ht="21" customHeight="1">
      <x:c r="A53" s="2"/>
      <x:c r="B53" s="2"/>
      <x:c r="C53" s="2"/>
      <x:c r="D53" s="2"/>
      <x:c r="E53" s="2"/>
      <x:c r="F53" s="2"/>
      <x:c r="G53" s="2"/>
      <x:c r="H53" s="2"/>
      <x:c r="I53" s="2"/>
      <x:c r="J53" s="2"/>
    </x:row>
    <x:row r="54" ht="21" customHeight="1">
      <x:c r="A54" s="2"/>
      <x:c r="B54" s="2"/>
      <x:c r="C54" s="2" t="str">
        <x:v>Maintenance capital is deducted before sizing. Additional expansion/property capital is</x:v>
      </x:c>
      <x:c r="D54" s="2"/>
      <x:c r="E54" s="2"/>
      <x:c r="F54" s="2"/>
      <x:c r="G54" s="2"/>
      <x:c r="H54" s="2"/>
      <x:c r="I54" s="2"/>
      <x:c r="J54" s="2"/>
    </x:row>
    <x:row r="55" ht="21" customHeight="1">
      <x:c r="A55" s="2"/>
      <x:c r="B55" s="2"/>
      <x:c r="C55" s="2" t="str">
        <x:v>deducted below residual cash. Do not enter the same cost in both places.</x:v>
      </x:c>
      <x:c r="D55" s="2"/>
      <x:c r="E55" s="2"/>
      <x:c r="F55" s="2"/>
      <x:c r="G55" s="2"/>
      <x:c r="H55" s="2"/>
      <x:c r="I55" s="2"/>
      <x:c r="J55" s="2"/>
    </x:row>
    <x:row r="56" ht="21" customHeight="1">
      <x:c r="A56" s="2"/>
      <x:c r="B56" s="2"/>
      <x:c r="C56" s="2"/>
      <x:c r="D56" s="2"/>
      <x:c r="E56" s="2"/>
      <x:c r="F56" s="2"/>
      <x:c r="G56" s="2"/>
      <x:c r="H56" s="2"/>
      <x:c r="I56" s="2"/>
      <x:c r="J56" s="2"/>
    </x:row>
    <x:row r="57" ht="21" customHeight="1">
      <x:c r="A57" s="2"/>
      <x:c r="B57" s="2"/>
      <x:c r="C57" s="2" t="str">
        <x:v>All amounts are fictional. Residual coverage, value and cash tests do not establish bank</x:v>
      </x:c>
      <x:c r="D57" s="2"/>
      <x:c r="E57" s="2"/>
      <x:c r="F57" s="2"/>
      <x:c r="G57" s="2"/>
      <x:c r="H57" s="2"/>
      <x:c r="I57" s="2"/>
      <x:c r="J57" s="2"/>
    </x:row>
    <x:row r="58" ht="21" customHeight="1">
      <x:c r="A58" s="2"/>
      <x:c r="B58" s="2"/>
      <x:c r="C58" s="2" t="str">
        <x:v>DSCR, program eligibility, business value or a loan commitment.</x:v>
      </x:c>
      <x:c r="D58" s="2"/>
      <x:c r="E58" s="2"/>
      <x:c r="F58" s="2"/>
      <x:c r="G58" s="2"/>
      <x:c r="H58" s="2"/>
      <x:c r="I58" s="2"/>
      <x:c r="J58" s="2"/>
    </x:row>
    <x:row r="59" ht="21" customHeight="1">
      <x:c r="A59" s="2"/>
      <x:c r="B59" s="2"/>
      <x:c r="C59" s="2"/>
      <x:c r="D59" s="2"/>
      <x:c r="E59" s="2"/>
      <x:c r="F59" s="2"/>
      <x:c r="G59" s="2"/>
      <x:c r="H59" s="2"/>
      <x:c r="I59" s="2"/>
      <x:c r="J59" s="2"/>
    </x:row>
    <x:row r="60" ht="21" customHeight="1">
      <x:c r="A60" s="2"/>
      <x:c r="B60" s="2"/>
      <x:c r="C60" s="2" t="str">
        <x:v>Published by Jaken Finance Group. 833-264-7776 | info@jakenfinancegroup.com.</x:v>
      </x:c>
      <x:c r="D60" s="2"/>
      <x:c r="E60" s="2"/>
      <x:c r="F60" s="2"/>
      <x:c r="G60" s="2"/>
      <x:c r="H60" s="2"/>
      <x:c r="I60" s="2"/>
      <x:c r="J60" s="2"/>
    </x:row>
    <x:row r="61">
      <x:c r="C61" s="72"/>
    </x:row>
    <x:row r="62">
      <x:c r="C62" s="72" t="str">
        <x:v>Every numerical assumption is illustrative. No current market quote, legal conclusion or</x:v>
      </x:c>
    </x:row>
    <x:row r="63">
      <x:c r="C63" s="72" t="str">
        <x:v>lender eligibility is represented.</x:v>
      </x:c>
    </x:row>
    <x:row r="64">
      <x:c r="C64" s="72"/>
    </x:row>
    <x:row r="65">
      <x:c r="C65" s="72" t="str">
        <x:v>NCF is a modeled cash measure after cash reserve deposits. An actual lender may adjust</x:v>
      </x:c>
    </x:row>
    <x:row r="66">
      <x:c r="C66" s="72" t="str">
        <x:v>income, expenses, reserves, tax and business cash differently.</x:v>
      </x:c>
    </x:row>
    <x:row r="67">
      <x:c r="C67" s="72"/>
    </x:row>
    <x:row r="68">
      <x:c r="C68" s="72" t="str">
        <x:v>No tax return, appraisal, legal compliance, guaranty capacity or refinancing approval is</x:v>
      </x:c>
    </x:row>
    <x:row r="69">
      <x:c r="C69" s="72" t="str">
        <x:v>established by the calculations.</x:v>
      </x:c>
    </x:row>
    <x:row r="70">
      <x:c r="C70" s="72"/>
    </x:row>
    <x:row r="71">
      <x:c r="C71" s="72" t="str">
        <x:v>Calculation methods and conventions are shown here. Check Review and replace</x:v>
      </x:c>
    </x:row>
    <x:row r="72">
      <x:c r="C72" s="72" t="str">
        <x:v>illustrative inputs before relying on results.</x:v>
      </x:c>
    </x:row>
    <x:row r="73">
      <x:c r="C73" s="72"/>
    </x:row>
    <x:row r="74">
      <x:c r="C74" s="72"/>
    </x:row>
    <x:row r="75">
      <x:c r="C75" s="72"/>
    </x:row>
  </x:sheetData>
  <x:conditionalFormatting sqref="D10:D16">
    <x:cfRule type="expression" dxfId="5" priority="1">
      <x:formula>ABS(D10)&gt;0.01</x:formula>
    </x:cfRule>
  </x:conditionalFormatting>
  <x:pageMargins left="0.7" right="0.7" top="0.75" bottom="0.75" header="0.3" footer="0.3"/>
</x:worksheet>
</file>