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464bb9a05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5b878b0bdc90488c"/>
    <x:sheet xmlns:r="http://schemas.openxmlformats.org/officeDocument/2006/relationships" name="Assumptions" sheetId="2" r:id="R86de67260f184058"/>
    <x:sheet xmlns:r="http://schemas.openxmlformats.org/officeDocument/2006/relationships" name="Storage Product Mix" sheetId="3" r:id="R35f695e8841746e0"/>
    <x:sheet xmlns:r="http://schemas.openxmlformats.org/officeDocument/2006/relationships" name="Operations" sheetId="4" r:id="R54f8ceaffbb54d69"/>
    <x:sheet xmlns:r="http://schemas.openxmlformats.org/officeDocument/2006/relationships" name="Debt and Funding" sheetId="5" r:id="R6e06511977f64dce"/>
    <x:sheet xmlns:r="http://schemas.openxmlformats.org/officeDocument/2006/relationships" name="Review" sheetId="6" r:id="R85e71e2dfe6644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.00##;($#,##0.00##);&quot;—&quot;"/>
    <x:numFmt numFmtId="203" formatCode="  @"/>
    <x:numFmt numFmtId="204" formatCode="0.0%;(0.0%);&quot;—&quot;"/>
    <x:numFmt numFmtId="205" formatCode="0.00&quot;x&quot;"/>
    <x:numFmt numFmtId="206" formatCode="mmm-yy"/>
    <x:numFmt numFmtId="207" formatCode="$#,##0;($#,##0);&quot;—&quot;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0" fillId="4" borderId="0" xfId="0" applyNumberFormat="1" applyFont="1" applyFill="1" applyBorder="1" applyAlignment="1">
      <x:alignment vertical="center"/>
    </x:xf>
    <x:xf numFmtId="204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4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3" fontId="13" fillId="0" borderId="0" xfId="0" applyNumberFormat="1" applyFont="1" applyFill="1" applyBorder="1" applyAlignment="1">
      <x:alignment vertical="center"/>
    </x:xf>
    <x:xf numFmtId="204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6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6" fontId="4" fillId="3" borderId="0" xfId="0" applyNumberFormat="1" applyFont="1" applyFill="1" applyBorder="1" applyAlignment="1">
      <x:alignment horizontal="center" vertical="center" wrapText="1"/>
    </x:xf>
    <x:xf numFmtId="206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7" fontId="10" fillId="0" borderId="0" xfId="0" applyNumberFormat="1" applyFont="1" applyFill="1" applyBorder="1" applyAlignment="1">
      <x:alignment vertical="center"/>
    </x:xf>
    <x:xf numFmtId="207" fontId="10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7" fontId="10" fillId="4" borderId="1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horizontal="right" vertical="center"/>
    </x:xf>
    <x:xf numFmtId="207" fontId="3" fillId="0" borderId="0" xfId="0" applyNumberFormat="1" applyFont="1" applyFill="1" applyBorder="1" applyAlignment="1">
      <x:alignment horizontal="right" vertical="center"/>
    </x:xf>
    <x:xf numFmtId="205" fontId="6" fillId="0" borderId="0" xfId="0" applyNumberFormat="1" applyFont="1" applyFill="1" applyBorder="1" applyAlignment="1">
      <x:alignment vertical="center"/>
    </x:xf>
    <x:xf numFmtId="207" fontId="9" fillId="0" borderId="0" xfId="0" applyNumberFormat="1" applyFont="1" applyFill="1" applyBorder="1" applyAlignment="1">
      <x:alignment vertical="center"/>
    </x:xf>
    <x:xf numFmtId="207" fontId="9" fillId="4" borderId="0" xfId="0" applyNumberFormat="1" applyFont="1" applyFill="1" applyBorder="1" applyAlignment="1">
      <x:alignment vertical="center"/>
    </x:xf>
    <x:xf numFmtId="207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9165b70800415b" /><Relationship Type="http://schemas.openxmlformats.org/officeDocument/2006/relationships/theme" Target="/xl/theme/theme1.xml" Id="R49a8c131d9c04a31" /><Relationship Type="http://schemas.openxmlformats.org/officeDocument/2006/relationships/sharedStrings" Target="/xl/sharedStrings.xml" Id="R42c508fd35c34e27" /><Relationship Type="http://schemas.openxmlformats.org/officeDocument/2006/relationships/worksheet" Target="/xl/worksheets/sheet1.xml" Id="R5b878b0bdc90488c" /><Relationship Type="http://schemas.openxmlformats.org/officeDocument/2006/relationships/worksheet" Target="/xl/worksheets/sheet2.xml" Id="R86de67260f184058" /><Relationship Type="http://schemas.openxmlformats.org/officeDocument/2006/relationships/worksheet" Target="/xl/worksheets/sheet3.xml" Id="R35f695e8841746e0" /><Relationship Type="http://schemas.openxmlformats.org/officeDocument/2006/relationships/worksheet" Target="/xl/worksheets/sheet4.xml" Id="R54f8ceaffbb54d69" /><Relationship Type="http://schemas.openxmlformats.org/officeDocument/2006/relationships/worksheet" Target="/xl/worksheets/sheet5.xml" Id="R6e06511977f64dce" /><Relationship Type="http://schemas.openxmlformats.org/officeDocument/2006/relationships/worksheet" Target="/xl/worksheets/sheet6.xml" Id="R85e71e2dfe6644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Boat and RV storage facilities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'Operations'!E16</x:f>
        <x:v>539592</x:v>
      </x:c>
      <x:c r="E10" s="2"/>
      <x:c r="F10" s="2"/>
      <x:c r="G10" s="68" t="n">
        <x:f>'Operations'!G9</x:f>
        <x:v>46388</x:v>
      </x:c>
      <x:c r="H10" s="69" t="n">
        <x:f>'Debt and Funding'!G36</x:f>
        <x:v>10925.48</x:v>
      </x:c>
      <x:c r="I10" s="69" t="n">
        <x:f>'Debt and Funding'!G37</x:f>
        <x:v>160925.48</x:v>
      </x:c>
      <x:c r="J10" s="69" t="n">
        <x:f>'Debt and Funding'!G33</x:f>
        <x:v>3000000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'Operations'!E20</x:f>
        <x:v>157838.39999999997</x:v>
      </x:c>
      <x:c r="E11" s="2"/>
      <x:c r="F11" s="2"/>
      <x:c r="G11" s="68" t="n">
        <x:f>'Operations'!H9</x:f>
        <x:v>46419</x:v>
      </x:c>
      <x:c r="H11" s="69" t="n">
        <x:f>'Debt and Funding'!H36</x:f>
        <x:v>10925.48</x:v>
      </x:c>
      <x:c r="I11" s="69" t="n">
        <x:f>'Debt and Funding'!H37</x:f>
        <x:v>171850.96000000002</x:v>
      </x:c>
      <x:c r="J11" s="69" t="n">
        <x:f>'Debt and Funding'!H33</x:f>
        <x:v>3000000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'Operations'!E21</x:f>
        <x:v>381753.60000000003</x:v>
      </x:c>
      <x:c r="E12" s="2"/>
      <x:c r="F12" s="2"/>
      <x:c r="G12" s="68" t="n">
        <x:f>'Operations'!I9</x:f>
        <x:v>46447</x:v>
      </x:c>
      <x:c r="H12" s="69" t="n">
        <x:f>'Debt and Funding'!I36</x:f>
        <x:v>10925.48</x:v>
      </x:c>
      <x:c r="I12" s="69" t="n">
        <x:f>'Debt and Funding'!I37</x:f>
        <x:v>182776.44000000003</x:v>
      </x:c>
      <x:c r="J12" s="69" t="n">
        <x:f>'Debt and Funding'!I33</x:f>
        <x:v>3000000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'Operations'!E22</x:f>
        <x:v>16187.760000000004</x:v>
      </x:c>
      <x:c r="E13" s="2"/>
      <x:c r="F13" s="2"/>
      <x:c r="G13" s="68" t="n">
        <x:f>'Operations'!J9</x:f>
        <x:v>46478</x:v>
      </x:c>
      <x:c r="H13" s="69" t="n">
        <x:f>'Debt and Funding'!J36</x:f>
        <x:v>12502.16</x:v>
      </x:c>
      <x:c r="I13" s="69" t="n">
        <x:f>'Debt and Funding'!J37</x:f>
        <x:v>195278.60000000003</x:v>
      </x:c>
      <x:c r="J13" s="69" t="n">
        <x:f>'Debt and Funding'!J33</x:f>
        <x:v>3000000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'Operations'!E23</x:f>
        <x:v>365565.83999999997</x:v>
      </x:c>
      <x:c r="E14" s="2"/>
      <x:c r="F14" s="2"/>
      <x:c r="G14" s="68" t="n">
        <x:f>'Operations'!K9</x:f>
        <x:v>46508</x:v>
      </x:c>
      <x:c r="H14" s="69" t="n">
        <x:f>'Debt and Funding'!K36</x:f>
        <x:v>12502.16</x:v>
      </x:c>
      <x:c r="I14" s="69" t="n">
        <x:f>'Debt and Funding'!K37</x:f>
        <x:v>207780.76000000004</x:v>
      </x:c>
      <x:c r="J14" s="69" t="n">
        <x:f>'Debt and Funding'!K33</x:f>
        <x:v>3000000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365565.83999999997</x:v>
      </x:c>
      <x:c r="E15" s="2"/>
      <x:c r="F15" s="2"/>
      <x:c r="G15" s="68" t="n">
        <x:f>'Operations'!L9</x:f>
        <x:v>46539</x:v>
      </x:c>
      <x:c r="H15" s="69" t="n">
        <x:f>'Debt and Funding'!L36</x:f>
        <x:v>12502.16</x:v>
      </x:c>
      <x:c r="I15" s="69" t="n">
        <x:f>'Debt and Funding'!L37</x:f>
        <x:v>220282.92000000004</x:v>
      </x:c>
      <x:c r="J15" s="69" t="n">
        <x:f>'Debt and Funding'!L33</x:f>
        <x:v>3000000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3609419.0635297713</x:v>
      </x:c>
      <x:c r="E16" s="2"/>
      <x:c r="F16" s="2"/>
      <x:c r="G16" s="68" t="n">
        <x:f>'Operations'!M9</x:f>
        <x:v>46569</x:v>
      </x:c>
      <x:c r="H16" s="69" t="n">
        <x:f>'Debt and Funding'!M36</x:f>
        <x:v>8495.94515957075</x:v>
      </x:c>
      <x:c r="I16" s="69" t="n">
        <x:f>'Debt and Funding'!M37</x:f>
        <x:v>228778.8651595708</x:v>
      </x:c>
      <x:c r="J16" s="69" t="n">
        <x:f>'Debt and Funding'!M33</x:f>
        <x:v>2995993.7851595706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3120000</x:v>
      </x:c>
      <x:c r="E17" s="2"/>
      <x:c r="F17" s="2"/>
      <x:c r="G17" s="68" t="n">
        <x:f>'Operations'!N9</x:f>
        <x:v>46600</x:v>
      </x:c>
      <x:c r="H17" s="69" t="n">
        <x:f>'Debt and Funding'!N36</x:f>
        <x:v>8495.94515957075</x:v>
      </x:c>
      <x:c r="I17" s="69" t="n">
        <x:f>'Debt and Funding'!N37</x:f>
        <x:v>237274.81031914154</x:v>
      </x:c>
      <x:c r="J17" s="69" t="n">
        <x:f>'Debt and Funding'!N33</x:f>
        <x:v>2991965.869988756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4061842.6666666665</x:v>
      </x:c>
      <x:c r="E18" s="2"/>
      <x:c r="F18" s="2"/>
      <x:c r="G18" s="68" t="n">
        <x:f>'Operations'!O9</x:f>
        <x:v>46631</x:v>
      </x:c>
      <x:c r="H18" s="69" t="n">
        <x:f>'Debt and Funding'!O36</x:f>
        <x:v>-74004.05484042925</x:v>
      </x:c>
      <x:c r="I18" s="69" t="n">
        <x:f>'Debt and Funding'!O37</x:f>
        <x:v>163270.7554787123</x:v>
      </x:c>
      <x:c r="J18" s="69" t="n">
        <x:f>'Debt and Funding'!O33</x:f>
        <x:v>2987916.136944099</x:v>
      </x:c>
      <x:c r="K18" s="2"/>
      <x:c r="L18" s="2"/>
    </x:row>
    <x:row r="19" ht="21" customHeight="1">
      <x:c r="A19" s="2"/>
      <x:c r="B19" s="2"/>
      <x:c r="C19" s="56" t="str">
        <x:v>Sized loan</x:v>
      </x:c>
      <x:c r="D19" s="65" t="n">
        <x:f>'Debt and Funding'!D14</x:f>
        <x:v>3000000</x:v>
      </x:c>
      <x:c r="E19" s="2"/>
      <x:c r="F19" s="2"/>
      <x:c r="G19" s="68" t="n">
        <x:f>'Operations'!P9</x:f>
        <x:v>46661</x:v>
      </x:c>
      <x:c r="H19" s="69" t="n">
        <x:f>'Debt and Funding'!P36</x:f>
        <x:v>6919.26515957075</x:v>
      </x:c>
      <x:c r="I19" s="69" t="n">
        <x:f>'Debt and Funding'!P37</x:f>
        <x:v>170190.02063828305</x:v>
      </x:c>
      <x:c r="J19" s="69" t="n">
        <x:f>'Debt and Funding'!P33</x:f>
        <x:v>2983844.46784545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6" t="str">
        <x:f>'Debt and Funding'!D15</x:f>
        <x:v>Requested ceiling</x:v>
      </x:c>
      <x:c r="E20" s="2"/>
      <x:c r="F20" s="2"/>
      <x:c r="G20" s="68" t="n">
        <x:f>'Operations'!Q9</x:f>
        <x:v>46692</x:v>
      </x:c>
      <x:c r="H20" s="69" t="n">
        <x:f>'Debt and Funding'!Q36</x:f>
        <x:v>6919.26515957075</x:v>
      </x:c>
      <x:c r="I20" s="69" t="n">
        <x:f>'Debt and Funding'!Q37</x:f>
        <x:v>177109.2857978538</x:v>
      </x:c>
      <x:c r="J20" s="69" t="n">
        <x:f>'Debt and Funding'!Q33</x:f>
        <x:v>2979750.7438725173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219037.28904257552</x:v>
      </x:c>
      <x:c r="E21" s="2"/>
      <x:c r="F21" s="2"/>
      <x:c r="G21" s="68" t="n">
        <x:f>'Operations'!R9</x:f>
        <x:v>46722</x:v>
      </x:c>
      <x:c r="H21" s="69" t="n">
        <x:f>'Debt and Funding'!R36</x:f>
        <x:v>6919.26515957075</x:v>
      </x:c>
      <x:c r="I21" s="69" t="n">
        <x:f>'Debt and Funding'!R37</x:f>
        <x:v>184028.55095742457</x:v>
      </x:c>
      <x:c r="J21" s="69" t="n">
        <x:f>'Debt and Funding'!R33</x:f>
        <x:v>2975634.8455613973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7" t="n">
        <x:f>'Debt and Funding'!D44</x:f>
        <x:v>1.6689662367440226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1800000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600000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6" t="str">
        <x:v>Sponsor cash after all modeled needs</x:v>
      </x:c>
      <x:c r="D26" s="65" t="n">
        <x:f>'Debt and Funding'!D47</x:f>
        <x:v>600000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2975634.8455613973</x:v>
      </x:c>
      <x:c r="E27" s="2"/>
      <x:c r="F27" s="2"/>
      <x:c r="G27" s="2" t="str">
        <x:v>Edit blue cells in Storage Product Mix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2749482.9152111495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4800000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4800000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4200000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4400000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4400000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4400000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150000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150000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150000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2400000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2400000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2400000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3000000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3000000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3000000</x:v>
      </x:c>
      <x:c r="E30" s="2"/>
      <x:c r="F30" s="2"/>
      <x:c r="G30" s="42" t="str">
        <x:v>Enclosed, covered and outdoor spaces are disjoint inventories with separate prices and paying fractions. Never place the same physical stall in two categories. Fractional paying spaces are monthly economic averages.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Paying fractions already reflect vacancy, nonpayment and concessions. Enter effective rent and paying fractions consistently so a discount is deducted once. Seasonality follows the monthly entries, not a national seasonal assumption.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Servicing costs differ by product and apply to paying spaces. Continuing taxes, insurance, security and other costs belong in fixed costs. Roof, access and surfacing capital is below NCF.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Scope is storage parking, excluding overnight accommodation, marina berths, repair and fuel businesses. Stall dimensions, turning paths, access, flood exposure and permitted uses are separate diligence matters.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120000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120000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138000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Monthly service cost / paying enclosed space</x:v>
      </x:c>
      <x:c r="D73" s="26" t="n">
        <x:f>IF($D$5=1,IF(ISNUMBER(D74),IF(AND(D74&gt;=0,D74&lt;=1000000000000),D74,"n.a."),"n.a."),IF($D$5=2,IF(ISNUMBER(D75),IF(AND(D75&gt;=0,D75&lt;=1000000000000),D75,"n.a."),"n.a."),"n.a."))</x:f>
        <x:v>22</x:v>
      </x:c>
      <x:c r="E73" s="22" t="str">
        <x:v>USD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27" t="n">
        <x:v>22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27" t="n">
        <x:v>22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4" t="str">
        <x:v>Monthly service cost / paying covered space</x:v>
      </x:c>
      <x:c r="D76" s="26" t="n">
        <x:f>IF($D$5=1,IF(ISNUMBER(D77),IF(AND(D77&gt;=0,D77&lt;=1000000000000),D77,"n.a."),"n.a."),IF($D$5=2,IF(ISNUMBER(D78),IF(AND(D78&gt;=0,D78&lt;=1000000000000),D78,"n.a."),"n.a."),"n.a."))</x:f>
        <x:v>12</x:v>
      </x:c>
      <x:c r="E76" s="22" t="str">
        <x:v>USD</x:v>
      </x:c>
      <x:c r="F76" s="2"/>
      <x:c r="G76" s="2"/>
      <x:c r="H76" s="2"/>
      <x:c r="I76" s="2"/>
      <x:c r="J76" s="2"/>
    </x:row>
    <x:row r="77" ht="21" customHeight="1">
      <x:c r="A77" s="2"/>
      <x:c r="B77" s="2"/>
      <x:c r="C77" s="28" t="str">
        <x:v>Base</x:v>
      </x:c>
      <x:c r="D77" s="27" t="n">
        <x:v>12</x:v>
      </x:c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8" t="str">
        <x:v>Downside</x:v>
      </x:c>
      <x:c r="D78" s="27" t="n">
        <x:v>12</x:v>
      </x:c>
      <x:c r="E78" s="2"/>
      <x:c r="F78" s="2"/>
      <x:c r="G78" s="2"/>
      <x:c r="H78" s="2"/>
      <x:c r="I78" s="2"/>
      <x:c r="J78" s="2"/>
    </x:row>
    <x:row r="79" ht="21" customHeight="1">
      <x:c r="A79" s="2"/>
      <x:c r="B79" s="2"/>
      <x:c r="C79" s="24" t="str">
        <x:v>Monthly service cost / paying outdoor space</x:v>
      </x:c>
      <x:c r="D79" s="26" t="n">
        <x:f>IF($D$5=1,IF(ISNUMBER(D80),IF(AND(D80&gt;=0,D80&lt;=1000000000000),D80,"n.a."),"n.a."),IF($D$5=2,IF(ISNUMBER(D81),IF(AND(D81&gt;=0,D81&lt;=1000000000000),D81,"n.a."),"n.a."),"n.a."))</x:f>
        <x:v>8</x:v>
      </x:c>
      <x:c r="E79" s="22" t="str">
        <x:v>USD</x:v>
      </x:c>
      <x:c r="F79" s="2"/>
      <x:c r="G79" s="2"/>
      <x:c r="H79" s="2"/>
      <x:c r="I79" s="2"/>
      <x:c r="J79" s="2"/>
    </x:row>
    <x:row r="80" ht="21" customHeight="1">
      <x:c r="A80" s="2"/>
      <x:c r="B80" s="2"/>
      <x:c r="C80" s="28" t="str">
        <x:v>Base</x:v>
      </x:c>
      <x:c r="D80" s="27" t="n">
        <x:v>8</x:v>
      </x:c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8" t="str">
        <x:v>Downside</x:v>
      </x:c>
      <x:c r="D81" s="27" t="n">
        <x:v>8</x:v>
      </x:c>
      <x:c r="E81" s="2"/>
      <x:c r="F81" s="2"/>
      <x:c r="G81" s="2"/>
      <x:c r="H81" s="2"/>
      <x:c r="I81" s="2"/>
      <x:c r="J81" s="2"/>
    </x:row>
    <x:row r="82" ht="21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1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1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  <x:row r="85" ht="21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</x:row>
    <x:row r="86" ht="21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</x:row>
    <x:row r="87" ht="21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</x:row>
  </x:sheetData>
  <x:dataValidations count="50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1000000000000</x:formula2>
    </x:dataValidation>
    <x:dataValidation type="decimal" operator="between" sqref="D75">
      <x:formula1>0</x:formula1>
      <x:formula2>1000000000000</x:formula2>
    </x:dataValidation>
    <x:dataValidation type="decimal" operator="between" sqref="D77">
      <x:formula1>0</x:formula1>
      <x:formula2>1000000000000</x:formula2>
    </x:dataValidation>
    <x:dataValidation type="decimal" operator="between" sqref="D78">
      <x:formula1>0</x:formula1>
      <x:formula2>1000000000000</x:formula2>
    </x:dataValidation>
    <x:dataValidation type="decimal" operator="between" sqref="D80">
      <x:formula1>0</x:formula1>
      <x:formula2>1000000000000</x:formula2>
    </x:dataValidation>
    <x:dataValidation type="decimal" operator="between" sqref="D81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Storage Product Mix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Enclosed spaces</x:v>
      </x:c>
      <x:c r="E9" s="21" t="str">
        <x:v>Enclosed monthly rent</x:v>
      </x:c>
      <x:c r="F9" s="21" t="str">
        <x:v>Enclosed paying fraction</x:v>
      </x:c>
      <x:c r="G9" s="21" t="str">
        <x:v>Covered spaces</x:v>
      </x:c>
      <x:c r="H9" s="21" t="str">
        <x:v>Covered monthly rent</x:v>
      </x:c>
      <x:c r="I9" s="21" t="str">
        <x:v>Covered paying fraction</x:v>
      </x:c>
      <x:c r="J9" s="21" t="str">
        <x:v>Outdoor spaces</x:v>
      </x:c>
      <x:c r="K9" s="21" t="str">
        <x:v>Outdoor monthly rent</x:v>
      </x:c>
      <x:c r="L9" s="21" t="str">
        <x:v>Outdoor paying fraction</x:v>
      </x:c>
      <x:c r="M9" s="21" t="str">
        <x:v>Gate, roof and surface capital</x:v>
      </x:c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60</x:v>
      </x:c>
      <x:c r="E10" s="27" t="n">
        <x:v>310</x:v>
      </x:c>
      <x:c r="F10" s="30" t="n">
        <x:v>0.91</x:v>
      </x:c>
      <x:c r="G10" s="16" t="n">
        <x:v>100</x:v>
      </x:c>
      <x:c r="H10" s="27" t="n">
        <x:v>185</x:v>
      </x:c>
      <x:c r="I10" s="30" t="n">
        <x:v>0.88</x:v>
      </x:c>
      <x:c r="J10" s="16" t="n">
        <x:v>140</x:v>
      </x:c>
      <x:c r="K10" s="27" t="n">
        <x:v>105</x:v>
      </x:c>
      <x:c r="L10" s="30" t="n">
        <x:v>0.74</x:v>
      </x:c>
      <x:c r="M10" s="27" t="n">
        <x:v>2500</x:v>
      </x:c>
      <x:c r="N10" s="13" t="str">
        <x:f>IF(AND(IF(ISNUMBER(D10),AND(D10&gt;=0,D10&lt;=1000000000000),FALSE),IF(ISNUMBER(E10),AND(E10&gt;=0,E10&lt;=1000000000000),FALSE),IF(ISNUMBER(F10),AND(F10&gt;=0,F10&lt;=1),FALSE),IF(ISNUMBER(G10),AND(G10&gt;=0,G10&lt;=1000000000000),FALSE),IF(ISNUMBER(H10),AND(H10&gt;=0,H10&lt;=1000000000000),FALSE),IF(ISNUMBER(I10),AND(I10&gt;=0,I10&lt;=1),FALSE),IF(ISNUMBER(J10),AND(J10&gt;=0,J10&lt;=1000000000000),FALSE),IF(ISNUMBER(K10),AND(K10&gt;=0,K10&lt;=1000000000000),FALSE),IF(ISNUMBER(L10),AND(L10&gt;=0,L10&lt;=1),FALSE),IF(ISNUMBER(M10),AND(M10&gt;=0,M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60</x:v>
      </x:c>
      <x:c r="E11" s="27" t="n">
        <x:v>310</x:v>
      </x:c>
      <x:c r="F11" s="30" t="n">
        <x:v>0.91</x:v>
      </x:c>
      <x:c r="G11" s="16" t="n">
        <x:v>100</x:v>
      </x:c>
      <x:c r="H11" s="27" t="n">
        <x:v>185</x:v>
      </x:c>
      <x:c r="I11" s="30" t="n">
        <x:v>0.88</x:v>
      </x:c>
      <x:c r="J11" s="16" t="n">
        <x:v>140</x:v>
      </x:c>
      <x:c r="K11" s="27" t="n">
        <x:v>105</x:v>
      </x:c>
      <x:c r="L11" s="30" t="n">
        <x:v>0.74</x:v>
      </x:c>
      <x:c r="M11" s="27" t="n">
        <x:v>2500</x:v>
      </x:c>
      <x:c r="N11" s="13" t="str">
        <x:f>IF(AND(IF(ISNUMBER(D11),AND(D11&gt;=0,D11&lt;=1000000000000),FALSE),IF(ISNUMBER(E11),AND(E11&gt;=0,E11&lt;=1000000000000),FALSE),IF(ISNUMBER(F11),AND(F11&gt;=0,F11&lt;=1),FALSE),IF(ISNUMBER(G11),AND(G11&gt;=0,G11&lt;=1000000000000),FALSE),IF(ISNUMBER(H11),AND(H11&gt;=0,H11&lt;=1000000000000),FALSE),IF(ISNUMBER(I11),AND(I11&gt;=0,I11&lt;=1),FALSE),IF(ISNUMBER(J11),AND(J11&gt;=0,J11&lt;=1000000000000),FALSE),IF(ISNUMBER(K11),AND(K11&gt;=0,K11&lt;=1000000000000),FALSE),IF(ISNUMBER(L11),AND(L11&gt;=0,L11&lt;=1),FALSE),IF(ISNUMBER(M11),AND(M11&gt;=0,M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60</x:v>
      </x:c>
      <x:c r="E12" s="27" t="n">
        <x:v>310</x:v>
      </x:c>
      <x:c r="F12" s="30" t="n">
        <x:v>0.91</x:v>
      </x:c>
      <x:c r="G12" s="16" t="n">
        <x:v>100</x:v>
      </x:c>
      <x:c r="H12" s="27" t="n">
        <x:v>185</x:v>
      </x:c>
      <x:c r="I12" s="30" t="n">
        <x:v>0.88</x:v>
      </x:c>
      <x:c r="J12" s="16" t="n">
        <x:v>140</x:v>
      </x:c>
      <x:c r="K12" s="27" t="n">
        <x:v>105</x:v>
      </x:c>
      <x:c r="L12" s="30" t="n">
        <x:v>0.74</x:v>
      </x:c>
      <x:c r="M12" s="27" t="n">
        <x:v>2500</x:v>
      </x:c>
      <x:c r="N12" s="13" t="str">
        <x:f>IF(AND(IF(ISNUMBER(D12),AND(D12&gt;=0,D12&lt;=1000000000000),FALSE),IF(ISNUMBER(E12),AND(E12&gt;=0,E12&lt;=1000000000000),FALSE),IF(ISNUMBER(F12),AND(F12&gt;=0,F12&lt;=1),FALSE),IF(ISNUMBER(G12),AND(G12&gt;=0,G12&lt;=1000000000000),FALSE),IF(ISNUMBER(H12),AND(H12&gt;=0,H12&lt;=1000000000000),FALSE),IF(ISNUMBER(I12),AND(I12&gt;=0,I12&lt;=1),FALSE),IF(ISNUMBER(J12),AND(J12&gt;=0,J12&lt;=1000000000000),FALSE),IF(ISNUMBER(K12),AND(K12&gt;=0,K12&lt;=1000000000000),FALSE),IF(ISNUMBER(L12),AND(L12&gt;=0,L12&lt;=1),FALSE),IF(ISNUMBER(M12),AND(M12&gt;=0,M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60</x:v>
      </x:c>
      <x:c r="E13" s="27" t="n">
        <x:v>310</x:v>
      </x:c>
      <x:c r="F13" s="30" t="n">
        <x:v>0.91</x:v>
      </x:c>
      <x:c r="G13" s="16" t="n">
        <x:v>100</x:v>
      </x:c>
      <x:c r="H13" s="27" t="n">
        <x:v>185</x:v>
      </x:c>
      <x:c r="I13" s="30" t="n">
        <x:v>0.88</x:v>
      </x:c>
      <x:c r="J13" s="16" t="n">
        <x:v>140</x:v>
      </x:c>
      <x:c r="K13" s="27" t="n">
        <x:v>105</x:v>
      </x:c>
      <x:c r="L13" s="30" t="n">
        <x:v>0.86</x:v>
      </x:c>
      <x:c r="M13" s="27" t="n">
        <x:v>2500</x:v>
      </x:c>
      <x:c r="N13" s="13" t="str">
        <x:f>IF(AND(IF(ISNUMBER(D13),AND(D13&gt;=0,D13&lt;=1000000000000),FALSE),IF(ISNUMBER(E13),AND(E13&gt;=0,E13&lt;=1000000000000),FALSE),IF(ISNUMBER(F13),AND(F13&gt;=0,F13&lt;=1),FALSE),IF(ISNUMBER(G13),AND(G13&gt;=0,G13&lt;=1000000000000),FALSE),IF(ISNUMBER(H13),AND(H13&gt;=0,H13&lt;=1000000000000),FALSE),IF(ISNUMBER(I13),AND(I13&gt;=0,I13&lt;=1),FALSE),IF(ISNUMBER(J13),AND(J13&gt;=0,J13&lt;=1000000000000),FALSE),IF(ISNUMBER(K13),AND(K13&gt;=0,K13&lt;=1000000000000),FALSE),IF(ISNUMBER(L13),AND(L13&gt;=0,L13&lt;=1),FALSE),IF(ISNUMBER(M13),AND(M13&gt;=0,M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60</x:v>
      </x:c>
      <x:c r="E14" s="27" t="n">
        <x:v>310</x:v>
      </x:c>
      <x:c r="F14" s="30" t="n">
        <x:v>0.91</x:v>
      </x:c>
      <x:c r="G14" s="16" t="n">
        <x:v>100</x:v>
      </x:c>
      <x:c r="H14" s="27" t="n">
        <x:v>185</x:v>
      </x:c>
      <x:c r="I14" s="30" t="n">
        <x:v>0.88</x:v>
      </x:c>
      <x:c r="J14" s="16" t="n">
        <x:v>140</x:v>
      </x:c>
      <x:c r="K14" s="27" t="n">
        <x:v>105</x:v>
      </x:c>
      <x:c r="L14" s="30" t="n">
        <x:v>0.86</x:v>
      </x:c>
      <x:c r="M14" s="27" t="n">
        <x:v>2500</x:v>
      </x:c>
      <x:c r="N14" s="13" t="str">
        <x:f>IF(AND(IF(ISNUMBER(D14),AND(D14&gt;=0,D14&lt;=1000000000000),FALSE),IF(ISNUMBER(E14),AND(E14&gt;=0,E14&lt;=1000000000000),FALSE),IF(ISNUMBER(F14),AND(F14&gt;=0,F14&lt;=1),FALSE),IF(ISNUMBER(G14),AND(G14&gt;=0,G14&lt;=1000000000000),FALSE),IF(ISNUMBER(H14),AND(H14&gt;=0,H14&lt;=1000000000000),FALSE),IF(ISNUMBER(I14),AND(I14&gt;=0,I14&lt;=1),FALSE),IF(ISNUMBER(J14),AND(J14&gt;=0,J14&lt;=1000000000000),FALSE),IF(ISNUMBER(K14),AND(K14&gt;=0,K14&lt;=1000000000000),FALSE),IF(ISNUMBER(L14),AND(L14&gt;=0,L14&lt;=1),FALSE),IF(ISNUMBER(M14),AND(M14&gt;=0,M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60</x:v>
      </x:c>
      <x:c r="E15" s="27" t="n">
        <x:v>310</x:v>
      </x:c>
      <x:c r="F15" s="30" t="n">
        <x:v>0.91</x:v>
      </x:c>
      <x:c r="G15" s="16" t="n">
        <x:v>100</x:v>
      </x:c>
      <x:c r="H15" s="27" t="n">
        <x:v>185</x:v>
      </x:c>
      <x:c r="I15" s="30" t="n">
        <x:v>0.88</x:v>
      </x:c>
      <x:c r="J15" s="16" t="n">
        <x:v>140</x:v>
      </x:c>
      <x:c r="K15" s="27" t="n">
        <x:v>105</x:v>
      </x:c>
      <x:c r="L15" s="30" t="n">
        <x:v>0.86</x:v>
      </x:c>
      <x:c r="M15" s="27" t="n">
        <x:v>2500</x:v>
      </x:c>
      <x:c r="N15" s="13" t="str">
        <x:f>IF(AND(IF(ISNUMBER(D15),AND(D15&gt;=0,D15&lt;=1000000000000),FALSE),IF(ISNUMBER(E15),AND(E15&gt;=0,E15&lt;=1000000000000),FALSE),IF(ISNUMBER(F15),AND(F15&gt;=0,F15&lt;=1),FALSE),IF(ISNUMBER(G15),AND(G15&gt;=0,G15&lt;=1000000000000),FALSE),IF(ISNUMBER(H15),AND(H15&gt;=0,H15&lt;=1000000000000),FALSE),IF(ISNUMBER(I15),AND(I15&gt;=0,I15&lt;=1),FALSE),IF(ISNUMBER(J15),AND(J15&gt;=0,J15&lt;=1000000000000),FALSE),IF(ISNUMBER(K15),AND(K15&gt;=0,K15&lt;=1000000000000),FALSE),IF(ISNUMBER(L15),AND(L15&gt;=0,L15&lt;=1),FALSE),IF(ISNUMBER(M15),AND(M15&gt;=0,M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60</x:v>
      </x:c>
      <x:c r="E16" s="27" t="n">
        <x:v>310</x:v>
      </x:c>
      <x:c r="F16" s="30" t="n">
        <x:v>0.91</x:v>
      </x:c>
      <x:c r="G16" s="16" t="n">
        <x:v>100</x:v>
      </x:c>
      <x:c r="H16" s="27" t="n">
        <x:v>185</x:v>
      </x:c>
      <x:c r="I16" s="30" t="n">
        <x:v>0.88</x:v>
      </x:c>
      <x:c r="J16" s="16" t="n">
        <x:v>140</x:v>
      </x:c>
      <x:c r="K16" s="27" t="n">
        <x:v>105</x:v>
      </x:c>
      <x:c r="L16" s="30" t="n">
        <x:v>0.86</x:v>
      </x:c>
      <x:c r="M16" s="27" t="n">
        <x:v>2500</x:v>
      </x:c>
      <x:c r="N16" s="13" t="str">
        <x:f>IF(AND(IF(ISNUMBER(D16),AND(D16&gt;=0,D16&lt;=1000000000000),FALSE),IF(ISNUMBER(E16),AND(E16&gt;=0,E16&lt;=1000000000000),FALSE),IF(ISNUMBER(F16),AND(F16&gt;=0,F16&lt;=1),FALSE),IF(ISNUMBER(G16),AND(G16&gt;=0,G16&lt;=1000000000000),FALSE),IF(ISNUMBER(H16),AND(H16&gt;=0,H16&lt;=1000000000000),FALSE),IF(ISNUMBER(I16),AND(I16&gt;=0,I16&lt;=1),FALSE),IF(ISNUMBER(J16),AND(J16&gt;=0,J16&lt;=1000000000000),FALSE),IF(ISNUMBER(K16),AND(K16&gt;=0,K16&lt;=1000000000000),FALSE),IF(ISNUMBER(L16),AND(L16&gt;=0,L16&lt;=1),FALSE),IF(ISNUMBER(M16),AND(M16&gt;=0,M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60</x:v>
      </x:c>
      <x:c r="E17" s="27" t="n">
        <x:v>310</x:v>
      </x:c>
      <x:c r="F17" s="30" t="n">
        <x:v>0.91</x:v>
      </x:c>
      <x:c r="G17" s="16" t="n">
        <x:v>100</x:v>
      </x:c>
      <x:c r="H17" s="27" t="n">
        <x:v>185</x:v>
      </x:c>
      <x:c r="I17" s="30" t="n">
        <x:v>0.88</x:v>
      </x:c>
      <x:c r="J17" s="16" t="n">
        <x:v>140</x:v>
      </x:c>
      <x:c r="K17" s="27" t="n">
        <x:v>105</x:v>
      </x:c>
      <x:c r="L17" s="30" t="n">
        <x:v>0.86</x:v>
      </x:c>
      <x:c r="M17" s="27" t="n">
        <x:v>2500</x:v>
      </x:c>
      <x:c r="N17" s="13" t="str">
        <x:f>IF(AND(IF(ISNUMBER(D17),AND(D17&gt;=0,D17&lt;=1000000000000),FALSE),IF(ISNUMBER(E17),AND(E17&gt;=0,E17&lt;=1000000000000),FALSE),IF(ISNUMBER(F17),AND(F17&gt;=0,F17&lt;=1),FALSE),IF(ISNUMBER(G17),AND(G17&gt;=0,G17&lt;=1000000000000),FALSE),IF(ISNUMBER(H17),AND(H17&gt;=0,H17&lt;=1000000000000),FALSE),IF(ISNUMBER(I17),AND(I17&gt;=0,I17&lt;=1),FALSE),IF(ISNUMBER(J17),AND(J17&gt;=0,J17&lt;=1000000000000),FALSE),IF(ISNUMBER(K17),AND(K17&gt;=0,K17&lt;=1000000000000),FALSE),IF(ISNUMBER(L17),AND(L17&gt;=0,L17&lt;=1),FALSE),IF(ISNUMBER(M17),AND(M17&gt;=0,M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60</x:v>
      </x:c>
      <x:c r="E18" s="27" t="n">
        <x:v>310</x:v>
      </x:c>
      <x:c r="F18" s="30" t="n">
        <x:v>0.91</x:v>
      </x:c>
      <x:c r="G18" s="16" t="n">
        <x:v>100</x:v>
      </x:c>
      <x:c r="H18" s="27" t="n">
        <x:v>185</x:v>
      </x:c>
      <x:c r="I18" s="30" t="n">
        <x:v>0.88</x:v>
      </x:c>
      <x:c r="J18" s="16" t="n">
        <x:v>140</x:v>
      </x:c>
      <x:c r="K18" s="27" t="n">
        <x:v>105</x:v>
      </x:c>
      <x:c r="L18" s="30" t="n">
        <x:v>0.86</x:v>
      </x:c>
      <x:c r="M18" s="27" t="n">
        <x:v>85000</x:v>
      </x:c>
      <x:c r="N18" s="13" t="str">
        <x:f>IF(AND(IF(ISNUMBER(D18),AND(D18&gt;=0,D18&lt;=1000000000000),FALSE),IF(ISNUMBER(E18),AND(E18&gt;=0,E18&lt;=1000000000000),FALSE),IF(ISNUMBER(F18),AND(F18&gt;=0,F18&lt;=1),FALSE),IF(ISNUMBER(G18),AND(G18&gt;=0,G18&lt;=1000000000000),FALSE),IF(ISNUMBER(H18),AND(H18&gt;=0,H18&lt;=1000000000000),FALSE),IF(ISNUMBER(I18),AND(I18&gt;=0,I18&lt;=1),FALSE),IF(ISNUMBER(J18),AND(J18&gt;=0,J18&lt;=1000000000000),FALSE),IF(ISNUMBER(K18),AND(K18&gt;=0,K18&lt;=1000000000000),FALSE),IF(ISNUMBER(L18),AND(L18&gt;=0,L18&lt;=1),FALSE),IF(ISNUMBER(M18),AND(M18&gt;=0,M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60</x:v>
      </x:c>
      <x:c r="E19" s="27" t="n">
        <x:v>310</x:v>
      </x:c>
      <x:c r="F19" s="30" t="n">
        <x:v>0.91</x:v>
      </x:c>
      <x:c r="G19" s="16" t="n">
        <x:v>100</x:v>
      </x:c>
      <x:c r="H19" s="27" t="n">
        <x:v>185</x:v>
      </x:c>
      <x:c r="I19" s="30" t="n">
        <x:v>0.88</x:v>
      </x:c>
      <x:c r="J19" s="16" t="n">
        <x:v>140</x:v>
      </x:c>
      <x:c r="K19" s="27" t="n">
        <x:v>105</x:v>
      </x:c>
      <x:c r="L19" s="30" t="n">
        <x:v>0.74</x:v>
      </x:c>
      <x:c r="M19" s="27" t="n">
        <x:v>2500</x:v>
      </x:c>
      <x:c r="N19" s="13" t="str">
        <x:f>IF(AND(IF(ISNUMBER(D19),AND(D19&gt;=0,D19&lt;=1000000000000),FALSE),IF(ISNUMBER(E19),AND(E19&gt;=0,E19&lt;=1000000000000),FALSE),IF(ISNUMBER(F19),AND(F19&gt;=0,F19&lt;=1),FALSE),IF(ISNUMBER(G19),AND(G19&gt;=0,G19&lt;=1000000000000),FALSE),IF(ISNUMBER(H19),AND(H19&gt;=0,H19&lt;=1000000000000),FALSE),IF(ISNUMBER(I19),AND(I19&gt;=0,I19&lt;=1),FALSE),IF(ISNUMBER(J19),AND(J19&gt;=0,J19&lt;=1000000000000),FALSE),IF(ISNUMBER(K19),AND(K19&gt;=0,K19&lt;=1000000000000),FALSE),IF(ISNUMBER(L19),AND(L19&gt;=0,L19&lt;=1),FALSE),IF(ISNUMBER(M19),AND(M19&gt;=0,M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60</x:v>
      </x:c>
      <x:c r="E20" s="27" t="n">
        <x:v>310</x:v>
      </x:c>
      <x:c r="F20" s="30" t="n">
        <x:v>0.91</x:v>
      </x:c>
      <x:c r="G20" s="16" t="n">
        <x:v>100</x:v>
      </x:c>
      <x:c r="H20" s="27" t="n">
        <x:v>185</x:v>
      </x:c>
      <x:c r="I20" s="30" t="n">
        <x:v>0.88</x:v>
      </x:c>
      <x:c r="J20" s="16" t="n">
        <x:v>140</x:v>
      </x:c>
      <x:c r="K20" s="27" t="n">
        <x:v>105</x:v>
      </x:c>
      <x:c r="L20" s="30" t="n">
        <x:v>0.74</x:v>
      </x:c>
      <x:c r="M20" s="27" t="n">
        <x:v>2500</x:v>
      </x:c>
      <x:c r="N20" s="13" t="str">
        <x:f>IF(AND(IF(ISNUMBER(D20),AND(D20&gt;=0,D20&lt;=1000000000000),FALSE),IF(ISNUMBER(E20),AND(E20&gt;=0,E20&lt;=1000000000000),FALSE),IF(ISNUMBER(F20),AND(F20&gt;=0,F20&lt;=1),FALSE),IF(ISNUMBER(G20),AND(G20&gt;=0,G20&lt;=1000000000000),FALSE),IF(ISNUMBER(H20),AND(H20&gt;=0,H20&lt;=1000000000000),FALSE),IF(ISNUMBER(I20),AND(I20&gt;=0,I20&lt;=1),FALSE),IF(ISNUMBER(J20),AND(J20&gt;=0,J20&lt;=1000000000000),FALSE),IF(ISNUMBER(K20),AND(K20&gt;=0,K20&lt;=1000000000000),FALSE),IF(ISNUMBER(L20),AND(L20&gt;=0,L20&lt;=1),FALSE),IF(ISNUMBER(M20),AND(M20&gt;=0,M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60</x:v>
      </x:c>
      <x:c r="E21" s="27" t="n">
        <x:v>310</x:v>
      </x:c>
      <x:c r="F21" s="30" t="n">
        <x:v>0.91</x:v>
      </x:c>
      <x:c r="G21" s="16" t="n">
        <x:v>100</x:v>
      </x:c>
      <x:c r="H21" s="27" t="n">
        <x:v>185</x:v>
      </x:c>
      <x:c r="I21" s="30" t="n">
        <x:v>0.88</x:v>
      </x:c>
      <x:c r="J21" s="16" t="n">
        <x:v>140</x:v>
      </x:c>
      <x:c r="K21" s="27" t="n">
        <x:v>105</x:v>
      </x:c>
      <x:c r="L21" s="30" t="n">
        <x:v>0.74</x:v>
      </x:c>
      <x:c r="M21" s="27" t="n">
        <x:v>2500</x:v>
      </x:c>
      <x:c r="N21" s="13" t="str">
        <x:f>IF(AND(IF(ISNUMBER(D21),AND(D21&gt;=0,D21&lt;=1000000000000),FALSE),IF(ISNUMBER(E21),AND(E21&gt;=0,E21&lt;=1000000000000),FALSE),IF(ISNUMBER(F21),AND(F21&gt;=0,F21&lt;=1),FALSE),IF(ISNUMBER(G21),AND(G21&gt;=0,G21&lt;=1000000000000),FALSE),IF(ISNUMBER(H21),AND(H21&gt;=0,H21&lt;=1000000000000),FALSE),IF(ISNUMBER(I21),AND(I21&gt;=0,I21&lt;=1),FALSE),IF(ISNUMBER(J21),AND(J21&gt;=0,J21&lt;=1000000000000),FALSE),IF(ISNUMBER(K21),AND(K21&gt;=0,K21&lt;=1000000000000),FALSE),IF(ISNUMBER(L21),AND(L21&gt;=0,L21&lt;=1),FALSE),IF(ISNUMBER(M21),AND(M21&gt;=0,M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20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1000000000000</x:formula2>
    </x:dataValidation>
    <x:dataValidation type="decimal" operator="between" sqref="I10">
      <x:formula1>0</x:formula1>
      <x:formula2>1</x:formula2>
    </x:dataValidation>
    <x:dataValidation type="decimal" operator="between" sqref="J10">
      <x:formula1>0</x:formula1>
      <x:formula2>1000000000000</x:formula2>
    </x:dataValidation>
    <x:dataValidation type="decimal" operator="between" sqref="K10">
      <x:formula1>0</x:formula1>
      <x:formula2>1000000000000</x:formula2>
    </x:dataValidation>
    <x:dataValidation type="decimal" operator="between" sqref="L10">
      <x:formula1>0</x:formula1>
      <x:formula2>1</x:formula2>
    </x:dataValidation>
    <x:dataValidation type="decimal" operator="between" sqref="M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1000000000000</x:formula2>
    </x:dataValidation>
    <x:dataValidation type="decimal" operator="between" sqref="I11">
      <x:formula1>0</x:formula1>
      <x:formula2>1</x:formula2>
    </x:dataValidation>
    <x:dataValidation type="decimal" operator="between" sqref="J11">
      <x:formula1>0</x:formula1>
      <x:formula2>1000000000000</x:formula2>
    </x:dataValidation>
    <x:dataValidation type="decimal" operator="between" sqref="K11">
      <x:formula1>0</x:formula1>
      <x:formula2>1000000000000</x:formula2>
    </x:dataValidation>
    <x:dataValidation type="decimal" operator="between" sqref="L11">
      <x:formula1>0</x:formula1>
      <x:formula2>1</x:formula2>
    </x:dataValidation>
    <x:dataValidation type="decimal" operator="between" sqref="M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1000000000000</x:formula2>
    </x:dataValidation>
    <x:dataValidation type="decimal" operator="between" sqref="I12">
      <x:formula1>0</x:formula1>
      <x:formula2>1</x:formula2>
    </x:dataValidation>
    <x:dataValidation type="decimal" operator="between" sqref="J12">
      <x:formula1>0</x:formula1>
      <x:formula2>1000000000000</x:formula2>
    </x:dataValidation>
    <x:dataValidation type="decimal" operator="between" sqref="K12">
      <x:formula1>0</x:formula1>
      <x:formula2>1000000000000</x:formula2>
    </x:dataValidation>
    <x:dataValidation type="decimal" operator="between" sqref="L12">
      <x:formula1>0</x:formula1>
      <x:formula2>1</x:formula2>
    </x:dataValidation>
    <x:dataValidation type="decimal" operator="between" sqref="M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1000000000000</x:formula2>
    </x:dataValidation>
    <x:dataValidation type="decimal" operator="between" sqref="I13">
      <x:formula1>0</x:formula1>
      <x:formula2>1</x:formula2>
    </x:dataValidation>
    <x:dataValidation type="decimal" operator="between" sqref="J13">
      <x:formula1>0</x:formula1>
      <x:formula2>1000000000000</x:formula2>
    </x:dataValidation>
    <x:dataValidation type="decimal" operator="between" sqref="K13">
      <x:formula1>0</x:formula1>
      <x:formula2>1000000000000</x:formula2>
    </x:dataValidation>
    <x:dataValidation type="decimal" operator="between" sqref="L13">
      <x:formula1>0</x:formula1>
      <x:formula2>1</x:formula2>
    </x:dataValidation>
    <x:dataValidation type="decimal" operator="between" sqref="M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1000000000000</x:formula2>
    </x:dataValidation>
    <x:dataValidation type="decimal" operator="between" sqref="I14">
      <x:formula1>0</x:formula1>
      <x:formula2>1</x:formula2>
    </x:dataValidation>
    <x:dataValidation type="decimal" operator="between" sqref="J14">
      <x:formula1>0</x:formula1>
      <x:formula2>1000000000000</x:formula2>
    </x:dataValidation>
    <x:dataValidation type="decimal" operator="between" sqref="K14">
      <x:formula1>0</x:formula1>
      <x:formula2>1000000000000</x:formula2>
    </x:dataValidation>
    <x:dataValidation type="decimal" operator="between" sqref="L14">
      <x:formula1>0</x:formula1>
      <x:formula2>1</x:formula2>
    </x:dataValidation>
    <x:dataValidation type="decimal" operator="between" sqref="M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1000000000000</x:formula2>
    </x:dataValidation>
    <x:dataValidation type="decimal" operator="between" sqref="I15">
      <x:formula1>0</x:formula1>
      <x:formula2>1</x:formula2>
    </x:dataValidation>
    <x:dataValidation type="decimal" operator="between" sqref="J15">
      <x:formula1>0</x:formula1>
      <x:formula2>1000000000000</x:formula2>
    </x:dataValidation>
    <x:dataValidation type="decimal" operator="between" sqref="K15">
      <x:formula1>0</x:formula1>
      <x:formula2>1000000000000</x:formula2>
    </x:dataValidation>
    <x:dataValidation type="decimal" operator="between" sqref="L15">
      <x:formula1>0</x:formula1>
      <x:formula2>1</x:formula2>
    </x:dataValidation>
    <x:dataValidation type="decimal" operator="between" sqref="M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1000000000000</x:formula2>
    </x:dataValidation>
    <x:dataValidation type="decimal" operator="between" sqref="I16">
      <x:formula1>0</x:formula1>
      <x:formula2>1</x:formula2>
    </x:dataValidation>
    <x:dataValidation type="decimal" operator="between" sqref="J16">
      <x:formula1>0</x:formula1>
      <x:formula2>1000000000000</x:formula2>
    </x:dataValidation>
    <x:dataValidation type="decimal" operator="between" sqref="K16">
      <x:formula1>0</x:formula1>
      <x:formula2>1000000000000</x:formula2>
    </x:dataValidation>
    <x:dataValidation type="decimal" operator="between" sqref="L16">
      <x:formula1>0</x:formula1>
      <x:formula2>1</x:formula2>
    </x:dataValidation>
    <x:dataValidation type="decimal" operator="between" sqref="M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1000000000000</x:formula2>
    </x:dataValidation>
    <x:dataValidation type="decimal" operator="between" sqref="I17">
      <x:formula1>0</x:formula1>
      <x:formula2>1</x:formula2>
    </x:dataValidation>
    <x:dataValidation type="decimal" operator="between" sqref="J17">
      <x:formula1>0</x:formula1>
      <x:formula2>1000000000000</x:formula2>
    </x:dataValidation>
    <x:dataValidation type="decimal" operator="between" sqref="K17">
      <x:formula1>0</x:formula1>
      <x:formula2>1000000000000</x:formula2>
    </x:dataValidation>
    <x:dataValidation type="decimal" operator="between" sqref="L17">
      <x:formula1>0</x:formula1>
      <x:formula2>1</x:formula2>
    </x:dataValidation>
    <x:dataValidation type="decimal" operator="between" sqref="M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1000000000000</x:formula2>
    </x:dataValidation>
    <x:dataValidation type="decimal" operator="between" sqref="I18">
      <x:formula1>0</x:formula1>
      <x:formula2>1</x:formula2>
    </x:dataValidation>
    <x:dataValidation type="decimal" operator="between" sqref="J18">
      <x:formula1>0</x:formula1>
      <x:formula2>1000000000000</x:formula2>
    </x:dataValidation>
    <x:dataValidation type="decimal" operator="between" sqref="K18">
      <x:formula1>0</x:formula1>
      <x:formula2>1000000000000</x:formula2>
    </x:dataValidation>
    <x:dataValidation type="decimal" operator="between" sqref="L18">
      <x:formula1>0</x:formula1>
      <x:formula2>1</x:formula2>
    </x:dataValidation>
    <x:dataValidation type="decimal" operator="between" sqref="M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1000000000000</x:formula2>
    </x:dataValidation>
    <x:dataValidation type="decimal" operator="between" sqref="I19">
      <x:formula1>0</x:formula1>
      <x:formula2>1</x:formula2>
    </x:dataValidation>
    <x:dataValidation type="decimal" operator="between" sqref="J19">
      <x:formula1>0</x:formula1>
      <x:formula2>1000000000000</x:formula2>
    </x:dataValidation>
    <x:dataValidation type="decimal" operator="between" sqref="K19">
      <x:formula1>0</x:formula1>
      <x:formula2>1000000000000</x:formula2>
    </x:dataValidation>
    <x:dataValidation type="decimal" operator="between" sqref="L19">
      <x:formula1>0</x:formula1>
      <x:formula2>1</x:formula2>
    </x:dataValidation>
    <x:dataValidation type="decimal" operator="between" sqref="M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1000000000000</x:formula2>
    </x:dataValidation>
    <x:dataValidation type="decimal" operator="between" sqref="I20">
      <x:formula1>0</x:formula1>
      <x:formula2>1</x:formula2>
    </x:dataValidation>
    <x:dataValidation type="decimal" operator="between" sqref="J20">
      <x:formula1>0</x:formula1>
      <x:formula2>1000000000000</x:formula2>
    </x:dataValidation>
    <x:dataValidation type="decimal" operator="between" sqref="K20">
      <x:formula1>0</x:formula1>
      <x:formula2>1000000000000</x:formula2>
    </x:dataValidation>
    <x:dataValidation type="decimal" operator="between" sqref="L20">
      <x:formula1>0</x:formula1>
      <x:formula2>1</x:formula2>
    </x:dataValidation>
    <x:dataValidation type="decimal" operator="between" sqref="M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1000000000000</x:formula2>
    </x:dataValidation>
    <x:dataValidation type="decimal" operator="between" sqref="I21">
      <x:formula1>0</x:formula1>
      <x:formula2>1</x:formula2>
    </x:dataValidation>
    <x:dataValidation type="decimal" operator="between" sqref="J21">
      <x:formula1>0</x:formula1>
      <x:formula2>1000000000000</x:formula2>
    </x:dataValidation>
    <x:dataValidation type="decimal" operator="between" sqref="K21">
      <x:formula1>0</x:formula1>
      <x:formula2>1000000000000</x:formula2>
    </x:dataValidation>
    <x:dataValidation type="decimal" operator="between" sqref="L21">
      <x:formula1>0</x:formula1>
      <x:formula2>1</x:formula2>
    </x:dataValidation>
    <x:dataValidation type="decimal" operator="between" sqref="M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Paying enclosed spaces</x:v>
      </x:c>
      <x:c r="D10" s="2" t="str">
        <x:v>spaces avg</x:v>
      </x:c>
      <x:c r="E10" s="49" t="n">
        <x:f>IF(COUNT(G10:R10)=12,AVERAGE(G10:R10),"n.a.")</x:f>
        <x:v>54.600000000000016</x:v>
      </x:c>
      <x:c r="F10" s="2"/>
      <x:c r="G10" s="48" t="n">
        <x:f>IF(AND('Storage Product Mix'!N10="OK"),IF(AND(ISNUMBER('Storage Product Mix'!$D$10),ISNUMBER('Storage Product Mix'!$F$10),ISNUMBER('Assumptions'!$D$61)),'Storage Product Mix'!$D$10*MIN(1,'Storage Product Mix'!$F$10*'Assumptions'!$D$61),"n.a."),"n.a.")</x:f>
        <x:v>54.6</x:v>
      </x:c>
      <x:c r="H10" s="48" t="n">
        <x:f>IF(AND('Storage Product Mix'!N11="OK"),IF(AND(ISNUMBER('Storage Product Mix'!$D$11),ISNUMBER('Storage Product Mix'!$F$11),ISNUMBER('Assumptions'!$D$61)),'Storage Product Mix'!$D$11*MIN(1,'Storage Product Mix'!$F$11*'Assumptions'!$D$61),"n.a."),"n.a.")</x:f>
        <x:v>54.6</x:v>
      </x:c>
      <x:c r="I10" s="48" t="n">
        <x:f>IF(AND('Storage Product Mix'!N12="OK"),IF(AND(ISNUMBER('Storage Product Mix'!$D$12),ISNUMBER('Storage Product Mix'!$F$12),ISNUMBER('Assumptions'!$D$61)),'Storage Product Mix'!$D$12*MIN(1,'Storage Product Mix'!$F$12*'Assumptions'!$D$61),"n.a."),"n.a.")</x:f>
        <x:v>54.6</x:v>
      </x:c>
      <x:c r="J10" s="48" t="n">
        <x:f>IF(AND('Storage Product Mix'!N13="OK"),IF(AND(ISNUMBER('Storage Product Mix'!$D$13),ISNUMBER('Storage Product Mix'!$F$13),ISNUMBER('Assumptions'!$D$61)),'Storage Product Mix'!$D$13*MIN(1,'Storage Product Mix'!$F$13*'Assumptions'!$D$61),"n.a."),"n.a.")</x:f>
        <x:v>54.6</x:v>
      </x:c>
      <x:c r="K10" s="48" t="n">
        <x:f>IF(AND('Storage Product Mix'!N14="OK"),IF(AND(ISNUMBER('Storage Product Mix'!$D$14),ISNUMBER('Storage Product Mix'!$F$14),ISNUMBER('Assumptions'!$D$61)),'Storage Product Mix'!$D$14*MIN(1,'Storage Product Mix'!$F$14*'Assumptions'!$D$61),"n.a."),"n.a.")</x:f>
        <x:v>54.6</x:v>
      </x:c>
      <x:c r="L10" s="48" t="n">
        <x:f>IF(AND('Storage Product Mix'!N15="OK"),IF(AND(ISNUMBER('Storage Product Mix'!$D$15),ISNUMBER('Storage Product Mix'!$F$15),ISNUMBER('Assumptions'!$D$61)),'Storage Product Mix'!$D$15*MIN(1,'Storage Product Mix'!$F$15*'Assumptions'!$D$61),"n.a."),"n.a.")</x:f>
        <x:v>54.6</x:v>
      </x:c>
      <x:c r="M10" s="48" t="n">
        <x:f>IF(AND('Storage Product Mix'!N16="OK"),IF(AND(ISNUMBER('Storage Product Mix'!$D$16),ISNUMBER('Storage Product Mix'!$F$16),ISNUMBER('Assumptions'!$D$61)),'Storage Product Mix'!$D$16*MIN(1,'Storage Product Mix'!$F$16*'Assumptions'!$D$61),"n.a."),"n.a.")</x:f>
        <x:v>54.6</x:v>
      </x:c>
      <x:c r="N10" s="48" t="n">
        <x:f>IF(AND('Storage Product Mix'!N17="OK"),IF(AND(ISNUMBER('Storage Product Mix'!$D$17),ISNUMBER('Storage Product Mix'!$F$17),ISNUMBER('Assumptions'!$D$61)),'Storage Product Mix'!$D$17*MIN(1,'Storage Product Mix'!$F$17*'Assumptions'!$D$61),"n.a."),"n.a.")</x:f>
        <x:v>54.6</x:v>
      </x:c>
      <x:c r="O10" s="48" t="n">
        <x:f>IF(AND('Storage Product Mix'!N18="OK"),IF(AND(ISNUMBER('Storage Product Mix'!$D$18),ISNUMBER('Storage Product Mix'!$F$18),ISNUMBER('Assumptions'!$D$61)),'Storage Product Mix'!$D$18*MIN(1,'Storage Product Mix'!$F$18*'Assumptions'!$D$61),"n.a."),"n.a.")</x:f>
        <x:v>54.6</x:v>
      </x:c>
      <x:c r="P10" s="48" t="n">
        <x:f>IF(AND('Storage Product Mix'!N19="OK"),IF(AND(ISNUMBER('Storage Product Mix'!$D$19),ISNUMBER('Storage Product Mix'!$F$19),ISNUMBER('Assumptions'!$D$61)),'Storage Product Mix'!$D$19*MIN(1,'Storage Product Mix'!$F$19*'Assumptions'!$D$61),"n.a."),"n.a.")</x:f>
        <x:v>54.6</x:v>
      </x:c>
      <x:c r="Q10" s="48" t="n">
        <x:f>IF(AND('Storage Product Mix'!N20="OK"),IF(AND(ISNUMBER('Storage Product Mix'!$D$20),ISNUMBER('Storage Product Mix'!$F$20),ISNUMBER('Assumptions'!$D$61)),'Storage Product Mix'!$D$20*MIN(1,'Storage Product Mix'!$F$20*'Assumptions'!$D$61),"n.a."),"n.a.")</x:f>
        <x:v>54.6</x:v>
      </x:c>
      <x:c r="R10" s="48" t="n">
        <x:f>IF(AND('Storage Product Mix'!N21="OK"),IF(AND(ISNUMBER('Storage Product Mix'!$D$21),ISNUMBER('Storage Product Mix'!$F$21),ISNUMBER('Assumptions'!$D$61)),'Storage Product Mix'!$D$21*MIN(1,'Storage Product Mix'!$F$21*'Assumptions'!$D$61),"n.a."),"n.a.")</x:f>
        <x:v>54.6</x:v>
      </x:c>
    </x:row>
    <x:row r="11" ht="21" customHeight="1">
      <x:c r="A11" s="2"/>
      <x:c r="B11" s="2"/>
      <x:c r="C11" s="2" t="str">
        <x:v>Paying covered spaces</x:v>
      </x:c>
      <x:c r="D11" s="2" t="str">
        <x:v>spaces avg</x:v>
      </x:c>
      <x:c r="E11" s="49" t="n">
        <x:f>IF(COUNT(G11:R11)=12,AVERAGE(G11:R11),"n.a.")</x:f>
        <x:v>88</x:v>
      </x:c>
      <x:c r="F11" s="2"/>
      <x:c r="G11" s="48" t="n">
        <x:f>IF(AND('Storage Product Mix'!N10="OK"),IF(AND(ISNUMBER('Storage Product Mix'!$G$10),ISNUMBER('Storage Product Mix'!$I$10),ISNUMBER('Assumptions'!$D$61)),'Storage Product Mix'!$G$10*MIN(1,'Storage Product Mix'!$I$10*'Assumptions'!$D$61),"n.a."),"n.a.")</x:f>
        <x:v>88</x:v>
      </x:c>
      <x:c r="H11" s="48" t="n">
        <x:f>IF(AND('Storage Product Mix'!N11="OK"),IF(AND(ISNUMBER('Storage Product Mix'!$G$11),ISNUMBER('Storage Product Mix'!$I$11),ISNUMBER('Assumptions'!$D$61)),'Storage Product Mix'!$G$11*MIN(1,'Storage Product Mix'!$I$11*'Assumptions'!$D$61),"n.a."),"n.a.")</x:f>
        <x:v>88</x:v>
      </x:c>
      <x:c r="I11" s="48" t="n">
        <x:f>IF(AND('Storage Product Mix'!N12="OK"),IF(AND(ISNUMBER('Storage Product Mix'!$G$12),ISNUMBER('Storage Product Mix'!$I$12),ISNUMBER('Assumptions'!$D$61)),'Storage Product Mix'!$G$12*MIN(1,'Storage Product Mix'!$I$12*'Assumptions'!$D$61),"n.a."),"n.a.")</x:f>
        <x:v>88</x:v>
      </x:c>
      <x:c r="J11" s="48" t="n">
        <x:f>IF(AND('Storage Product Mix'!N13="OK"),IF(AND(ISNUMBER('Storage Product Mix'!$G$13),ISNUMBER('Storage Product Mix'!$I$13),ISNUMBER('Assumptions'!$D$61)),'Storage Product Mix'!$G$13*MIN(1,'Storage Product Mix'!$I$13*'Assumptions'!$D$61),"n.a."),"n.a.")</x:f>
        <x:v>88</x:v>
      </x:c>
      <x:c r="K11" s="48" t="n">
        <x:f>IF(AND('Storage Product Mix'!N14="OK"),IF(AND(ISNUMBER('Storage Product Mix'!$G$14),ISNUMBER('Storage Product Mix'!$I$14),ISNUMBER('Assumptions'!$D$61)),'Storage Product Mix'!$G$14*MIN(1,'Storage Product Mix'!$I$14*'Assumptions'!$D$61),"n.a."),"n.a.")</x:f>
        <x:v>88</x:v>
      </x:c>
      <x:c r="L11" s="48" t="n">
        <x:f>IF(AND('Storage Product Mix'!N15="OK"),IF(AND(ISNUMBER('Storage Product Mix'!$G$15),ISNUMBER('Storage Product Mix'!$I$15),ISNUMBER('Assumptions'!$D$61)),'Storage Product Mix'!$G$15*MIN(1,'Storage Product Mix'!$I$15*'Assumptions'!$D$61),"n.a."),"n.a.")</x:f>
        <x:v>88</x:v>
      </x:c>
      <x:c r="M11" s="48" t="n">
        <x:f>IF(AND('Storage Product Mix'!N16="OK"),IF(AND(ISNUMBER('Storage Product Mix'!$G$16),ISNUMBER('Storage Product Mix'!$I$16),ISNUMBER('Assumptions'!$D$61)),'Storage Product Mix'!$G$16*MIN(1,'Storage Product Mix'!$I$16*'Assumptions'!$D$61),"n.a."),"n.a.")</x:f>
        <x:v>88</x:v>
      </x:c>
      <x:c r="N11" s="48" t="n">
        <x:f>IF(AND('Storage Product Mix'!N17="OK"),IF(AND(ISNUMBER('Storage Product Mix'!$G$17),ISNUMBER('Storage Product Mix'!$I$17),ISNUMBER('Assumptions'!$D$61)),'Storage Product Mix'!$G$17*MIN(1,'Storage Product Mix'!$I$17*'Assumptions'!$D$61),"n.a."),"n.a.")</x:f>
        <x:v>88</x:v>
      </x:c>
      <x:c r="O11" s="48" t="n">
        <x:f>IF(AND('Storage Product Mix'!N18="OK"),IF(AND(ISNUMBER('Storage Product Mix'!$G$18),ISNUMBER('Storage Product Mix'!$I$18),ISNUMBER('Assumptions'!$D$61)),'Storage Product Mix'!$G$18*MIN(1,'Storage Product Mix'!$I$18*'Assumptions'!$D$61),"n.a."),"n.a.")</x:f>
        <x:v>88</x:v>
      </x:c>
      <x:c r="P11" s="48" t="n">
        <x:f>IF(AND('Storage Product Mix'!N19="OK"),IF(AND(ISNUMBER('Storage Product Mix'!$G$19),ISNUMBER('Storage Product Mix'!$I$19),ISNUMBER('Assumptions'!$D$61)),'Storage Product Mix'!$G$19*MIN(1,'Storage Product Mix'!$I$19*'Assumptions'!$D$61),"n.a."),"n.a.")</x:f>
        <x:v>88</x:v>
      </x:c>
      <x:c r="Q11" s="48" t="n">
        <x:f>IF(AND('Storage Product Mix'!N20="OK"),IF(AND(ISNUMBER('Storage Product Mix'!$G$20),ISNUMBER('Storage Product Mix'!$I$20),ISNUMBER('Assumptions'!$D$61)),'Storage Product Mix'!$G$20*MIN(1,'Storage Product Mix'!$I$20*'Assumptions'!$D$61),"n.a."),"n.a.")</x:f>
        <x:v>88</x:v>
      </x:c>
      <x:c r="R11" s="48" t="n">
        <x:f>IF(AND('Storage Product Mix'!N21="OK"),IF(AND(ISNUMBER('Storage Product Mix'!$G$21),ISNUMBER('Storage Product Mix'!$I$21),ISNUMBER('Assumptions'!$D$61)),'Storage Product Mix'!$G$21*MIN(1,'Storage Product Mix'!$I$21*'Assumptions'!$D$61),"n.a."),"n.a.")</x:f>
        <x:v>88</x:v>
      </x:c>
    </x:row>
    <x:row r="12" ht="21" customHeight="1">
      <x:c r="A12" s="2"/>
      <x:c r="B12" s="2"/>
      <x:c r="C12" s="2" t="str">
        <x:v>Paying outdoor spaces</x:v>
      </x:c>
      <x:c r="D12" s="2" t="str">
        <x:v>spaces avg</x:v>
      </x:c>
      <x:c r="E12" s="49" t="n">
        <x:f>IF(COUNT(G12:R12)=12,AVERAGE(G12:R12),"n.a.")</x:f>
        <x:v>111.99999999999996</x:v>
      </x:c>
      <x:c r="F12" s="2"/>
      <x:c r="G12" s="48" t="n">
        <x:f>IF(AND('Storage Product Mix'!N10="OK"),IF(AND(ISNUMBER('Storage Product Mix'!$J$10),ISNUMBER('Storage Product Mix'!$L$10),ISNUMBER('Assumptions'!$D$61)),'Storage Product Mix'!$J$10*MIN(1,'Storage Product Mix'!$L$10*'Assumptions'!$D$61),"n.a."),"n.a.")</x:f>
        <x:v>103.6</x:v>
      </x:c>
      <x:c r="H12" s="48" t="n">
        <x:f>IF(AND('Storage Product Mix'!N11="OK"),IF(AND(ISNUMBER('Storage Product Mix'!$J$11),ISNUMBER('Storage Product Mix'!$L$11),ISNUMBER('Assumptions'!$D$61)),'Storage Product Mix'!$J$11*MIN(1,'Storage Product Mix'!$L$11*'Assumptions'!$D$61),"n.a."),"n.a.")</x:f>
        <x:v>103.6</x:v>
      </x:c>
      <x:c r="I12" s="48" t="n">
        <x:f>IF(AND('Storage Product Mix'!N12="OK"),IF(AND(ISNUMBER('Storage Product Mix'!$J$12),ISNUMBER('Storage Product Mix'!$L$12),ISNUMBER('Assumptions'!$D$61)),'Storage Product Mix'!$J$12*MIN(1,'Storage Product Mix'!$L$12*'Assumptions'!$D$61),"n.a."),"n.a.")</x:f>
        <x:v>103.6</x:v>
      </x:c>
      <x:c r="J12" s="48" t="n">
        <x:f>IF(AND('Storage Product Mix'!N13="OK"),IF(AND(ISNUMBER('Storage Product Mix'!$J$13),ISNUMBER('Storage Product Mix'!$L$13),ISNUMBER('Assumptions'!$D$61)),'Storage Product Mix'!$J$13*MIN(1,'Storage Product Mix'!$L$13*'Assumptions'!$D$61),"n.a."),"n.a.")</x:f>
        <x:v>120.39999999999999</x:v>
      </x:c>
      <x:c r="K12" s="48" t="n">
        <x:f>IF(AND('Storage Product Mix'!N14="OK"),IF(AND(ISNUMBER('Storage Product Mix'!$J$14),ISNUMBER('Storage Product Mix'!$L$14),ISNUMBER('Assumptions'!$D$61)),'Storage Product Mix'!$J$14*MIN(1,'Storage Product Mix'!$L$14*'Assumptions'!$D$61),"n.a."),"n.a.")</x:f>
        <x:v>120.39999999999999</x:v>
      </x:c>
      <x:c r="L12" s="48" t="n">
        <x:f>IF(AND('Storage Product Mix'!N15="OK"),IF(AND(ISNUMBER('Storage Product Mix'!$J$15),ISNUMBER('Storage Product Mix'!$L$15),ISNUMBER('Assumptions'!$D$61)),'Storage Product Mix'!$J$15*MIN(1,'Storage Product Mix'!$L$15*'Assumptions'!$D$61),"n.a."),"n.a.")</x:f>
        <x:v>120.39999999999999</x:v>
      </x:c>
      <x:c r="M12" s="48" t="n">
        <x:f>IF(AND('Storage Product Mix'!N16="OK"),IF(AND(ISNUMBER('Storage Product Mix'!$J$16),ISNUMBER('Storage Product Mix'!$L$16),ISNUMBER('Assumptions'!$D$61)),'Storage Product Mix'!$J$16*MIN(1,'Storage Product Mix'!$L$16*'Assumptions'!$D$61),"n.a."),"n.a.")</x:f>
        <x:v>120.39999999999999</x:v>
      </x:c>
      <x:c r="N12" s="48" t="n">
        <x:f>IF(AND('Storage Product Mix'!N17="OK"),IF(AND(ISNUMBER('Storage Product Mix'!$J$17),ISNUMBER('Storage Product Mix'!$L$17),ISNUMBER('Assumptions'!$D$61)),'Storage Product Mix'!$J$17*MIN(1,'Storage Product Mix'!$L$17*'Assumptions'!$D$61),"n.a."),"n.a.")</x:f>
        <x:v>120.39999999999999</x:v>
      </x:c>
      <x:c r="O12" s="48" t="n">
        <x:f>IF(AND('Storage Product Mix'!N18="OK"),IF(AND(ISNUMBER('Storage Product Mix'!$J$18),ISNUMBER('Storage Product Mix'!$L$18),ISNUMBER('Assumptions'!$D$61)),'Storage Product Mix'!$J$18*MIN(1,'Storage Product Mix'!$L$18*'Assumptions'!$D$61),"n.a."),"n.a.")</x:f>
        <x:v>120.39999999999999</x:v>
      </x:c>
      <x:c r="P12" s="48" t="n">
        <x:f>IF(AND('Storage Product Mix'!N19="OK"),IF(AND(ISNUMBER('Storage Product Mix'!$J$19),ISNUMBER('Storage Product Mix'!$L$19),ISNUMBER('Assumptions'!$D$61)),'Storage Product Mix'!$J$19*MIN(1,'Storage Product Mix'!$L$19*'Assumptions'!$D$61),"n.a."),"n.a.")</x:f>
        <x:v>103.6</x:v>
      </x:c>
      <x:c r="Q12" s="48" t="n">
        <x:f>IF(AND('Storage Product Mix'!N20="OK"),IF(AND(ISNUMBER('Storage Product Mix'!$J$20),ISNUMBER('Storage Product Mix'!$L$20),ISNUMBER('Assumptions'!$D$61)),'Storage Product Mix'!$J$20*MIN(1,'Storage Product Mix'!$L$20*'Assumptions'!$D$61),"n.a."),"n.a.")</x:f>
        <x:v>103.6</x:v>
      </x:c>
      <x:c r="R12" s="48" t="n">
        <x:f>IF(AND('Storage Product Mix'!N21="OK"),IF(AND(ISNUMBER('Storage Product Mix'!$J$21),ISNUMBER('Storage Product Mix'!$L$21),ISNUMBER('Assumptions'!$D$61)),'Storage Product Mix'!$J$21*MIN(1,'Storage Product Mix'!$L$21*'Assumptions'!$D$61),"n.a."),"n.a.")</x:f>
        <x:v>103.6</x:v>
      </x:c>
    </x:row>
    <x:row r="13" ht="21" customHeight="1">
      <x:c r="A13" s="2"/>
      <x:c r="B13" s="2"/>
      <x:c r="C13" s="2" t="str">
        <x:v>Enclosed-space collections</x:v>
      </x:c>
      <x:c r="D13" s="2" t="str">
        <x:v>USD</x:v>
      </x:c>
      <x:c r="E13" s="52" t="n">
        <x:f>IF(COUNT(G13:R13)=12,SUM(G13:R13),"n.a.")</x:f>
        <x:v>203112</x:v>
      </x:c>
      <x:c r="F13" s="2"/>
      <x:c r="G13" s="51" t="n">
        <x:f>IF(AND('Storage Product Mix'!N10="OK"),IF(AND(ISNUMBER(G10),ISNUMBER('Storage Product Mix'!$E$10),ISNUMBER('Assumptions'!$D$64)),G10*'Storage Product Mix'!$E$10*'Assumptions'!$D$64,"n.a."),"n.a.")</x:f>
        <x:v>16926</x:v>
      </x:c>
      <x:c r="H13" s="51" t="n">
        <x:f>IF(AND('Storage Product Mix'!N11="OK"),IF(AND(ISNUMBER(H10),ISNUMBER('Storage Product Mix'!$E$11),ISNUMBER('Assumptions'!$D$64)),H10*'Storage Product Mix'!$E$11*'Assumptions'!$D$64,"n.a."),"n.a.")</x:f>
        <x:v>16926</x:v>
      </x:c>
      <x:c r="I13" s="51" t="n">
        <x:f>IF(AND('Storage Product Mix'!N12="OK"),IF(AND(ISNUMBER(I10),ISNUMBER('Storage Product Mix'!$E$12),ISNUMBER('Assumptions'!$D$64)),I10*'Storage Product Mix'!$E$12*'Assumptions'!$D$64,"n.a."),"n.a.")</x:f>
        <x:v>16926</x:v>
      </x:c>
      <x:c r="J13" s="51" t="n">
        <x:f>IF(AND('Storage Product Mix'!N13="OK"),IF(AND(ISNUMBER(J10),ISNUMBER('Storage Product Mix'!$E$13),ISNUMBER('Assumptions'!$D$64)),J10*'Storage Product Mix'!$E$13*'Assumptions'!$D$64,"n.a."),"n.a.")</x:f>
        <x:v>16926</x:v>
      </x:c>
      <x:c r="K13" s="51" t="n">
        <x:f>IF(AND('Storage Product Mix'!N14="OK"),IF(AND(ISNUMBER(K10),ISNUMBER('Storage Product Mix'!$E$14),ISNUMBER('Assumptions'!$D$64)),K10*'Storage Product Mix'!$E$14*'Assumptions'!$D$64,"n.a."),"n.a.")</x:f>
        <x:v>16926</x:v>
      </x:c>
      <x:c r="L13" s="51" t="n">
        <x:f>IF(AND('Storage Product Mix'!N15="OK"),IF(AND(ISNUMBER(L10),ISNUMBER('Storage Product Mix'!$E$15),ISNUMBER('Assumptions'!$D$64)),L10*'Storage Product Mix'!$E$15*'Assumptions'!$D$64,"n.a."),"n.a.")</x:f>
        <x:v>16926</x:v>
      </x:c>
      <x:c r="M13" s="51" t="n">
        <x:f>IF(AND('Storage Product Mix'!N16="OK"),IF(AND(ISNUMBER(M10),ISNUMBER('Storage Product Mix'!$E$16),ISNUMBER('Assumptions'!$D$64)),M10*'Storage Product Mix'!$E$16*'Assumptions'!$D$64,"n.a."),"n.a.")</x:f>
        <x:v>16926</x:v>
      </x:c>
      <x:c r="N13" s="51" t="n">
        <x:f>IF(AND('Storage Product Mix'!N17="OK"),IF(AND(ISNUMBER(N10),ISNUMBER('Storage Product Mix'!$E$17),ISNUMBER('Assumptions'!$D$64)),N10*'Storage Product Mix'!$E$17*'Assumptions'!$D$64,"n.a."),"n.a.")</x:f>
        <x:v>16926</x:v>
      </x:c>
      <x:c r="O13" s="51" t="n">
        <x:f>IF(AND('Storage Product Mix'!N18="OK"),IF(AND(ISNUMBER(O10),ISNUMBER('Storage Product Mix'!$E$18),ISNUMBER('Assumptions'!$D$64)),O10*'Storage Product Mix'!$E$18*'Assumptions'!$D$64,"n.a."),"n.a.")</x:f>
        <x:v>16926</x:v>
      </x:c>
      <x:c r="P13" s="51" t="n">
        <x:f>IF(AND('Storage Product Mix'!N19="OK"),IF(AND(ISNUMBER(P10),ISNUMBER('Storage Product Mix'!$E$19),ISNUMBER('Assumptions'!$D$64)),P10*'Storage Product Mix'!$E$19*'Assumptions'!$D$64,"n.a."),"n.a.")</x:f>
        <x:v>16926</x:v>
      </x:c>
      <x:c r="Q13" s="51" t="n">
        <x:f>IF(AND('Storage Product Mix'!N20="OK"),IF(AND(ISNUMBER(Q10),ISNUMBER('Storage Product Mix'!$E$20),ISNUMBER('Assumptions'!$D$64)),Q10*'Storage Product Mix'!$E$20*'Assumptions'!$D$64,"n.a."),"n.a.")</x:f>
        <x:v>16926</x:v>
      </x:c>
      <x:c r="R13" s="51" t="n">
        <x:f>IF(AND('Storage Product Mix'!N21="OK"),IF(AND(ISNUMBER(R10),ISNUMBER('Storage Product Mix'!$E$21),ISNUMBER('Assumptions'!$D$64)),R10*'Storage Product Mix'!$E$21*'Assumptions'!$D$64,"n.a."),"n.a.")</x:f>
        <x:v>16926</x:v>
      </x:c>
    </x:row>
    <x:row r="14" ht="21" customHeight="1">
      <x:c r="A14" s="2"/>
      <x:c r="B14" s="2"/>
      <x:c r="C14" s="2" t="str">
        <x:v>Covered-space collections</x:v>
      </x:c>
      <x:c r="D14" s="2" t="str">
        <x:v>USD</x:v>
      </x:c>
      <x:c r="E14" s="52" t="n">
        <x:f>IF(COUNT(G14:R14)=12,SUM(G14:R14),"n.a.")</x:f>
        <x:v>195360</x:v>
      </x:c>
      <x:c r="F14" s="2"/>
      <x:c r="G14" s="51" t="n">
        <x:f>IF(AND('Storage Product Mix'!N10="OK"),IF(AND(ISNUMBER(G11),ISNUMBER('Storage Product Mix'!$H$10),ISNUMBER('Assumptions'!$D$64)),G11*'Storage Product Mix'!$H$10*'Assumptions'!$D$64,"n.a."),"n.a.")</x:f>
        <x:v>16280</x:v>
      </x:c>
      <x:c r="H14" s="51" t="n">
        <x:f>IF(AND('Storage Product Mix'!N11="OK"),IF(AND(ISNUMBER(H11),ISNUMBER('Storage Product Mix'!$H$11),ISNUMBER('Assumptions'!$D$64)),H11*'Storage Product Mix'!$H$11*'Assumptions'!$D$64,"n.a."),"n.a.")</x:f>
        <x:v>16280</x:v>
      </x:c>
      <x:c r="I14" s="51" t="n">
        <x:f>IF(AND('Storage Product Mix'!N12="OK"),IF(AND(ISNUMBER(I11),ISNUMBER('Storage Product Mix'!$H$12),ISNUMBER('Assumptions'!$D$64)),I11*'Storage Product Mix'!$H$12*'Assumptions'!$D$64,"n.a."),"n.a.")</x:f>
        <x:v>16280</x:v>
      </x:c>
      <x:c r="J14" s="51" t="n">
        <x:f>IF(AND('Storage Product Mix'!N13="OK"),IF(AND(ISNUMBER(J11),ISNUMBER('Storage Product Mix'!$H$13),ISNUMBER('Assumptions'!$D$64)),J11*'Storage Product Mix'!$H$13*'Assumptions'!$D$64,"n.a."),"n.a.")</x:f>
        <x:v>16280</x:v>
      </x:c>
      <x:c r="K14" s="51" t="n">
        <x:f>IF(AND('Storage Product Mix'!N14="OK"),IF(AND(ISNUMBER(K11),ISNUMBER('Storage Product Mix'!$H$14),ISNUMBER('Assumptions'!$D$64)),K11*'Storage Product Mix'!$H$14*'Assumptions'!$D$64,"n.a."),"n.a.")</x:f>
        <x:v>16280</x:v>
      </x:c>
      <x:c r="L14" s="51" t="n">
        <x:f>IF(AND('Storage Product Mix'!N15="OK"),IF(AND(ISNUMBER(L11),ISNUMBER('Storage Product Mix'!$H$15),ISNUMBER('Assumptions'!$D$64)),L11*'Storage Product Mix'!$H$15*'Assumptions'!$D$64,"n.a."),"n.a.")</x:f>
        <x:v>16280</x:v>
      </x:c>
      <x:c r="M14" s="51" t="n">
        <x:f>IF(AND('Storage Product Mix'!N16="OK"),IF(AND(ISNUMBER(M11),ISNUMBER('Storage Product Mix'!$H$16),ISNUMBER('Assumptions'!$D$64)),M11*'Storage Product Mix'!$H$16*'Assumptions'!$D$64,"n.a."),"n.a.")</x:f>
        <x:v>16280</x:v>
      </x:c>
      <x:c r="N14" s="51" t="n">
        <x:f>IF(AND('Storage Product Mix'!N17="OK"),IF(AND(ISNUMBER(N11),ISNUMBER('Storage Product Mix'!$H$17),ISNUMBER('Assumptions'!$D$64)),N11*'Storage Product Mix'!$H$17*'Assumptions'!$D$64,"n.a."),"n.a.")</x:f>
        <x:v>16280</x:v>
      </x:c>
      <x:c r="O14" s="51" t="n">
        <x:f>IF(AND('Storage Product Mix'!N18="OK"),IF(AND(ISNUMBER(O11),ISNUMBER('Storage Product Mix'!$H$18),ISNUMBER('Assumptions'!$D$64)),O11*'Storage Product Mix'!$H$18*'Assumptions'!$D$64,"n.a."),"n.a.")</x:f>
        <x:v>16280</x:v>
      </x:c>
      <x:c r="P14" s="51" t="n">
        <x:f>IF(AND('Storage Product Mix'!N19="OK"),IF(AND(ISNUMBER(P11),ISNUMBER('Storage Product Mix'!$H$19),ISNUMBER('Assumptions'!$D$64)),P11*'Storage Product Mix'!$H$19*'Assumptions'!$D$64,"n.a."),"n.a.")</x:f>
        <x:v>16280</x:v>
      </x:c>
      <x:c r="Q14" s="51" t="n">
        <x:f>IF(AND('Storage Product Mix'!N20="OK"),IF(AND(ISNUMBER(Q11),ISNUMBER('Storage Product Mix'!$H$20),ISNUMBER('Assumptions'!$D$64)),Q11*'Storage Product Mix'!$H$20*'Assumptions'!$D$64,"n.a."),"n.a.")</x:f>
        <x:v>16280</x:v>
      </x:c>
      <x:c r="R14" s="51" t="n">
        <x:f>IF(AND('Storage Product Mix'!N21="OK"),IF(AND(ISNUMBER(R11),ISNUMBER('Storage Product Mix'!$H$21),ISNUMBER('Assumptions'!$D$64)),R11*'Storage Product Mix'!$H$21*'Assumptions'!$D$64,"n.a."),"n.a.")</x:f>
        <x:v>16280</x:v>
      </x:c>
    </x:row>
    <x:row r="15" ht="21" customHeight="1">
      <x:c r="A15" s="2"/>
      <x:c r="B15" s="2"/>
      <x:c r="C15" s="2" t="str">
        <x:v>Outdoor-space collections</x:v>
      </x:c>
      <x:c r="D15" s="2" t="str">
        <x:v>USD</x:v>
      </x:c>
      <x:c r="E15" s="52" t="n">
        <x:f>IF(COUNT(G15:R15)=12,SUM(G15:R15),"n.a.")</x:f>
        <x:v>141120</x:v>
      </x:c>
      <x:c r="F15" s="2"/>
      <x:c r="G15" s="51" t="n">
        <x:f>IF(AND('Storage Product Mix'!N10="OK"),IF(AND(ISNUMBER(G12),ISNUMBER('Storage Product Mix'!$K$10),ISNUMBER('Assumptions'!$D$64)),G12*'Storage Product Mix'!$K$10*'Assumptions'!$D$64,"n.a."),"n.a.")</x:f>
        <x:v>10878</x:v>
      </x:c>
      <x:c r="H15" s="51" t="n">
        <x:f>IF(AND('Storage Product Mix'!N11="OK"),IF(AND(ISNUMBER(H12),ISNUMBER('Storage Product Mix'!$K$11),ISNUMBER('Assumptions'!$D$64)),H12*'Storage Product Mix'!$K$11*'Assumptions'!$D$64,"n.a."),"n.a.")</x:f>
        <x:v>10878</x:v>
      </x:c>
      <x:c r="I15" s="51" t="n">
        <x:f>IF(AND('Storage Product Mix'!N12="OK"),IF(AND(ISNUMBER(I12),ISNUMBER('Storage Product Mix'!$K$12),ISNUMBER('Assumptions'!$D$64)),I12*'Storage Product Mix'!$K$12*'Assumptions'!$D$64,"n.a."),"n.a.")</x:f>
        <x:v>10878</x:v>
      </x:c>
      <x:c r="J15" s="51" t="n">
        <x:f>IF(AND('Storage Product Mix'!N13="OK"),IF(AND(ISNUMBER(J12),ISNUMBER('Storage Product Mix'!$K$13),ISNUMBER('Assumptions'!$D$64)),J12*'Storage Product Mix'!$K$13*'Assumptions'!$D$64,"n.a."),"n.a.")</x:f>
        <x:v>12642</x:v>
      </x:c>
      <x:c r="K15" s="51" t="n">
        <x:f>IF(AND('Storage Product Mix'!N14="OK"),IF(AND(ISNUMBER(K12),ISNUMBER('Storage Product Mix'!$K$14),ISNUMBER('Assumptions'!$D$64)),K12*'Storage Product Mix'!$K$14*'Assumptions'!$D$64,"n.a."),"n.a.")</x:f>
        <x:v>12642</x:v>
      </x:c>
      <x:c r="L15" s="51" t="n">
        <x:f>IF(AND('Storage Product Mix'!N15="OK"),IF(AND(ISNUMBER(L12),ISNUMBER('Storage Product Mix'!$K$15),ISNUMBER('Assumptions'!$D$64)),L12*'Storage Product Mix'!$K$15*'Assumptions'!$D$64,"n.a."),"n.a.")</x:f>
        <x:v>12642</x:v>
      </x:c>
      <x:c r="M15" s="51" t="n">
        <x:f>IF(AND('Storage Product Mix'!N16="OK"),IF(AND(ISNUMBER(M12),ISNUMBER('Storage Product Mix'!$K$16),ISNUMBER('Assumptions'!$D$64)),M12*'Storage Product Mix'!$K$16*'Assumptions'!$D$64,"n.a."),"n.a.")</x:f>
        <x:v>12642</x:v>
      </x:c>
      <x:c r="N15" s="51" t="n">
        <x:f>IF(AND('Storage Product Mix'!N17="OK"),IF(AND(ISNUMBER(N12),ISNUMBER('Storage Product Mix'!$K$17),ISNUMBER('Assumptions'!$D$64)),N12*'Storage Product Mix'!$K$17*'Assumptions'!$D$64,"n.a."),"n.a.")</x:f>
        <x:v>12642</x:v>
      </x:c>
      <x:c r="O15" s="51" t="n">
        <x:f>IF(AND('Storage Product Mix'!N18="OK"),IF(AND(ISNUMBER(O12),ISNUMBER('Storage Product Mix'!$K$18),ISNUMBER('Assumptions'!$D$64)),O12*'Storage Product Mix'!$K$18*'Assumptions'!$D$64,"n.a."),"n.a.")</x:f>
        <x:v>12642</x:v>
      </x:c>
      <x:c r="P15" s="51" t="n">
        <x:f>IF(AND('Storage Product Mix'!N19="OK"),IF(AND(ISNUMBER(P12),ISNUMBER('Storage Product Mix'!$K$19),ISNUMBER('Assumptions'!$D$64)),P12*'Storage Product Mix'!$K$19*'Assumptions'!$D$64,"n.a."),"n.a.")</x:f>
        <x:v>10878</x:v>
      </x:c>
      <x:c r="Q15" s="51" t="n">
        <x:f>IF(AND('Storage Product Mix'!N20="OK"),IF(AND(ISNUMBER(Q12),ISNUMBER('Storage Product Mix'!$K$20),ISNUMBER('Assumptions'!$D$64)),Q12*'Storage Product Mix'!$K$20*'Assumptions'!$D$64,"n.a."),"n.a.")</x:f>
        <x:v>10878</x:v>
      </x:c>
      <x:c r="R15" s="51" t="n">
        <x:f>IF(AND('Storage Product Mix'!N21="OK"),IF(AND(ISNUMBER(R12),ISNUMBER('Storage Product Mix'!$K$21),ISNUMBER('Assumptions'!$D$64)),R12*'Storage Product Mix'!$K$21*'Assumptions'!$D$64,"n.a."),"n.a.")</x:f>
        <x:v>10878</x:v>
      </x:c>
    </x:row>
    <x:row r="16" ht="21" customHeight="1">
      <x:c r="A16" s="2"/>
      <x:c r="B16" s="2"/>
      <x:c r="C16" s="56" t="str">
        <x:v>Total storage-space collections</x:v>
      </x:c>
      <x:c r="D16" s="56" t="str">
        <x:v>USD</x:v>
      </x:c>
      <x:c r="E16" s="57" t="n">
        <x:f>IF(COUNT(G16:R16)=12,SUM(G16:R16),"n.a.")</x:f>
        <x:v>539592</x:v>
      </x:c>
      <x:c r="F16" s="56"/>
      <x:c r="G16" s="57" t="n">
        <x:f>IF(AND(ISNUMBER(G13),ISNUMBER(G14),ISNUMBER(G15)),SUM(G13,G14,G15),"n.a.")</x:f>
        <x:v>44084</x:v>
      </x:c>
      <x:c r="H16" s="57" t="n">
        <x:f>IF(AND(ISNUMBER(H13),ISNUMBER(H14),ISNUMBER(H15)),SUM(H13,H14,H15),"n.a.")</x:f>
        <x:v>44084</x:v>
      </x:c>
      <x:c r="I16" s="57" t="n">
        <x:f>IF(AND(ISNUMBER(I13),ISNUMBER(I14),ISNUMBER(I15)),SUM(I13,I14,I15),"n.a.")</x:f>
        <x:v>44084</x:v>
      </x:c>
      <x:c r="J16" s="57" t="n">
        <x:f>IF(AND(ISNUMBER(J13),ISNUMBER(J14),ISNUMBER(J15)),SUM(J13,J14,J15),"n.a.")</x:f>
        <x:v>45848</x:v>
      </x:c>
      <x:c r="K16" s="57" t="n">
        <x:f>IF(AND(ISNUMBER(K13),ISNUMBER(K14),ISNUMBER(K15)),SUM(K13,K14,K15),"n.a.")</x:f>
        <x:v>45848</x:v>
      </x:c>
      <x:c r="L16" s="57" t="n">
        <x:f>IF(AND(ISNUMBER(L13),ISNUMBER(L14),ISNUMBER(L15)),SUM(L13,L14,L15),"n.a.")</x:f>
        <x:v>45848</x:v>
      </x:c>
      <x:c r="M16" s="57" t="n">
        <x:f>IF(AND(ISNUMBER(M13),ISNUMBER(M14),ISNUMBER(M15)),SUM(M13,M14,M15),"n.a.")</x:f>
        <x:v>45848</x:v>
      </x:c>
      <x:c r="N16" s="57" t="n">
        <x:f>IF(AND(ISNUMBER(N13),ISNUMBER(N14),ISNUMBER(N15)),SUM(N13,N14,N15),"n.a.")</x:f>
        <x:v>45848</x:v>
      </x:c>
      <x:c r="O16" s="57" t="n">
        <x:f>IF(AND(ISNUMBER(O13),ISNUMBER(O14),ISNUMBER(O15)),SUM(O13,O14,O15),"n.a.")</x:f>
        <x:v>45848</x:v>
      </x:c>
      <x:c r="P16" s="57" t="n">
        <x:f>IF(AND(ISNUMBER(P13),ISNUMBER(P14),ISNUMBER(P15)),SUM(P13,P14,P15),"n.a.")</x:f>
        <x:v>44084</x:v>
      </x:c>
      <x:c r="Q16" s="57" t="n">
        <x:f>IF(AND(ISNUMBER(Q13),ISNUMBER(Q14),ISNUMBER(Q15)),SUM(Q13,Q14,Q15),"n.a.")</x:f>
        <x:v>44084</x:v>
      </x:c>
      <x:c r="R16" s="57" t="n">
        <x:f>IF(AND(ISNUMBER(R13),ISNUMBER(R14),ISNUMBER(R15)),SUM(R13,R14,R15),"n.a.")</x:f>
        <x:v>44084</x:v>
      </x:c>
    </x:row>
    <x:row r="17" ht="21" customHeight="1">
      <x:c r="A17" s="2"/>
      <x:c r="B17" s="2"/>
      <x:c r="C17" s="2" t="str">
        <x:v>Product-specific monthly servicing</x:v>
      </x:c>
      <x:c r="D17" s="2" t="str">
        <x:v>USD</x:v>
      </x:c>
      <x:c r="E17" s="52" t="n">
        <x:f>IF(COUNT(G17:R17)=12,SUM(G17:R17),"n.a.")</x:f>
        <x:v>37838.4</x:v>
      </x:c>
      <x:c r="F17" s="2"/>
      <x:c r="G17" s="51" t="n">
        <x:f>IF(AND(ISNUMBER(G10),ISNUMBER('Assumptions'!$D$73),ISNUMBER(G11),ISNUMBER('Assumptions'!$D$76),ISNUMBER(G12),ISNUMBER('Assumptions'!$D$79),ISNUMBER('Assumptions'!$D$67)),(G10*'Assumptions'!$D$73+G11*'Assumptions'!$D$76+G12*'Assumptions'!$D$79)*'Assumptions'!$D$67,"n.a.")</x:f>
        <x:v>3086</x:v>
      </x:c>
      <x:c r="H17" s="51" t="n">
        <x:f>IF(AND(ISNUMBER(H10),ISNUMBER('Assumptions'!$D$73),ISNUMBER(H11),ISNUMBER('Assumptions'!$D$76),ISNUMBER(H12),ISNUMBER('Assumptions'!$D$79),ISNUMBER('Assumptions'!$D$67)),(H10*'Assumptions'!$D$73+H11*'Assumptions'!$D$76+H12*'Assumptions'!$D$79)*'Assumptions'!$D$67,"n.a.")</x:f>
        <x:v>3086</x:v>
      </x:c>
      <x:c r="I17" s="51" t="n">
        <x:f>IF(AND(ISNUMBER(I10),ISNUMBER('Assumptions'!$D$73),ISNUMBER(I11),ISNUMBER('Assumptions'!$D$76),ISNUMBER(I12),ISNUMBER('Assumptions'!$D$79),ISNUMBER('Assumptions'!$D$67)),(I10*'Assumptions'!$D$73+I11*'Assumptions'!$D$76+I12*'Assumptions'!$D$79)*'Assumptions'!$D$67,"n.a.")</x:f>
        <x:v>3086</x:v>
      </x:c>
      <x:c r="J17" s="51" t="n">
        <x:f>IF(AND(ISNUMBER(J10),ISNUMBER('Assumptions'!$D$73),ISNUMBER(J11),ISNUMBER('Assumptions'!$D$76),ISNUMBER(J12),ISNUMBER('Assumptions'!$D$79),ISNUMBER('Assumptions'!$D$67)),(J10*'Assumptions'!$D$73+J11*'Assumptions'!$D$76+J12*'Assumptions'!$D$79)*'Assumptions'!$D$67,"n.a.")</x:f>
        <x:v>3220.3999999999996</x:v>
      </x:c>
      <x:c r="K17" s="51" t="n">
        <x:f>IF(AND(ISNUMBER(K10),ISNUMBER('Assumptions'!$D$73),ISNUMBER(K11),ISNUMBER('Assumptions'!$D$76),ISNUMBER(K12),ISNUMBER('Assumptions'!$D$79),ISNUMBER('Assumptions'!$D$67)),(K10*'Assumptions'!$D$73+K11*'Assumptions'!$D$76+K12*'Assumptions'!$D$79)*'Assumptions'!$D$67,"n.a.")</x:f>
        <x:v>3220.3999999999996</x:v>
      </x:c>
      <x:c r="L17" s="51" t="n">
        <x:f>IF(AND(ISNUMBER(L10),ISNUMBER('Assumptions'!$D$73),ISNUMBER(L11),ISNUMBER('Assumptions'!$D$76),ISNUMBER(L12),ISNUMBER('Assumptions'!$D$79),ISNUMBER('Assumptions'!$D$67)),(L10*'Assumptions'!$D$73+L11*'Assumptions'!$D$76+L12*'Assumptions'!$D$79)*'Assumptions'!$D$67,"n.a.")</x:f>
        <x:v>3220.3999999999996</x:v>
      </x:c>
      <x:c r="M17" s="51" t="n">
        <x:f>IF(AND(ISNUMBER(M10),ISNUMBER('Assumptions'!$D$73),ISNUMBER(M11),ISNUMBER('Assumptions'!$D$76),ISNUMBER(M12),ISNUMBER('Assumptions'!$D$79),ISNUMBER('Assumptions'!$D$67)),(M10*'Assumptions'!$D$73+M11*'Assumptions'!$D$76+M12*'Assumptions'!$D$79)*'Assumptions'!$D$67,"n.a.")</x:f>
        <x:v>3220.3999999999996</x:v>
      </x:c>
      <x:c r="N17" s="51" t="n">
        <x:f>IF(AND(ISNUMBER(N10),ISNUMBER('Assumptions'!$D$73),ISNUMBER(N11),ISNUMBER('Assumptions'!$D$76),ISNUMBER(N12),ISNUMBER('Assumptions'!$D$79),ISNUMBER('Assumptions'!$D$67)),(N10*'Assumptions'!$D$73+N11*'Assumptions'!$D$76+N12*'Assumptions'!$D$79)*'Assumptions'!$D$67,"n.a.")</x:f>
        <x:v>3220.3999999999996</x:v>
      </x:c>
      <x:c r="O17" s="51" t="n">
        <x:f>IF(AND(ISNUMBER(O10),ISNUMBER('Assumptions'!$D$73),ISNUMBER(O11),ISNUMBER('Assumptions'!$D$76),ISNUMBER(O12),ISNUMBER('Assumptions'!$D$79),ISNUMBER('Assumptions'!$D$67)),(O10*'Assumptions'!$D$73+O11*'Assumptions'!$D$76+O12*'Assumptions'!$D$79)*'Assumptions'!$D$67,"n.a.")</x:f>
        <x:v>3220.3999999999996</x:v>
      </x:c>
      <x:c r="P17" s="51" t="n">
        <x:f>IF(AND(ISNUMBER(P10),ISNUMBER('Assumptions'!$D$73),ISNUMBER(P11),ISNUMBER('Assumptions'!$D$76),ISNUMBER(P12),ISNUMBER('Assumptions'!$D$79),ISNUMBER('Assumptions'!$D$67)),(P10*'Assumptions'!$D$73+P11*'Assumptions'!$D$76+P12*'Assumptions'!$D$79)*'Assumptions'!$D$67,"n.a.")</x:f>
        <x:v>3086</x:v>
      </x:c>
      <x:c r="Q17" s="51" t="n">
        <x:f>IF(AND(ISNUMBER(Q10),ISNUMBER('Assumptions'!$D$73),ISNUMBER(Q11),ISNUMBER('Assumptions'!$D$76),ISNUMBER(Q12),ISNUMBER('Assumptions'!$D$79),ISNUMBER('Assumptions'!$D$67)),(Q10*'Assumptions'!$D$73+Q11*'Assumptions'!$D$76+Q12*'Assumptions'!$D$79)*'Assumptions'!$D$67,"n.a.")</x:f>
        <x:v>3086</x:v>
      </x:c>
      <x:c r="R17" s="51" t="n">
        <x:f>IF(AND(ISNUMBER(R10),ISNUMBER('Assumptions'!$D$73),ISNUMBER(R11),ISNUMBER('Assumptions'!$D$76),ISNUMBER(R12),ISNUMBER('Assumptions'!$D$79),ISNUMBER('Assumptions'!$D$67)),(R10*'Assumptions'!$D$73+R11*'Assumptions'!$D$76+R12*'Assumptions'!$D$79)*'Assumptions'!$D$67,"n.a.")</x:f>
        <x:v>3086</x:v>
      </x:c>
    </x:row>
    <x:row r="18" ht="21" customHeight="1">
      <x:c r="A18" s="2"/>
      <x:c r="B18" s="2"/>
      <x:c r="C18" s="2" t="str">
        <x:v>Gate, roof and surface capital</x:v>
      </x:c>
      <x:c r="D18" s="2" t="str">
        <x:v>USD</x:v>
      </x:c>
      <x:c r="E18" s="52" t="n">
        <x:f>IF(COUNT(G18:R18)=12,SUM(G18:R18),"n.a.")</x:f>
        <x:v>112500</x:v>
      </x:c>
      <x:c r="F18" s="2"/>
      <x:c r="G18" s="51" t="n">
        <x:f>IF(AND('Storage Product Mix'!N10="OK"),IF(AND(ISNUMBER('Storage Product Mix'!$M$10),ISNUMBER('Assumptions'!$D$70)),'Storage Product Mix'!$M$10*'Assumptions'!$D$70,"n.a."),"n.a.")</x:f>
        <x:v>2500</x:v>
      </x:c>
      <x:c r="H18" s="51" t="n">
        <x:f>IF(AND('Storage Product Mix'!N11="OK"),IF(AND(ISNUMBER('Storage Product Mix'!$M$11),ISNUMBER('Assumptions'!$D$70)),'Storage Product Mix'!$M$11*'Assumptions'!$D$70,"n.a."),"n.a.")</x:f>
        <x:v>2500</x:v>
      </x:c>
      <x:c r="I18" s="51" t="n">
        <x:f>IF(AND('Storage Product Mix'!N12="OK"),IF(AND(ISNUMBER('Storage Product Mix'!$M$12),ISNUMBER('Assumptions'!$D$70)),'Storage Product Mix'!$M$12*'Assumptions'!$D$70,"n.a."),"n.a.")</x:f>
        <x:v>2500</x:v>
      </x:c>
      <x:c r="J18" s="51" t="n">
        <x:f>IF(AND('Storage Product Mix'!N13="OK"),IF(AND(ISNUMBER('Storage Product Mix'!$M$13),ISNUMBER('Assumptions'!$D$70)),'Storage Product Mix'!$M$13*'Assumptions'!$D$70,"n.a."),"n.a.")</x:f>
        <x:v>2500</x:v>
      </x:c>
      <x:c r="K18" s="51" t="n">
        <x:f>IF(AND('Storage Product Mix'!N14="OK"),IF(AND(ISNUMBER('Storage Product Mix'!$M$14),ISNUMBER('Assumptions'!$D$70)),'Storage Product Mix'!$M$14*'Assumptions'!$D$70,"n.a."),"n.a.")</x:f>
        <x:v>2500</x:v>
      </x:c>
      <x:c r="L18" s="51" t="n">
        <x:f>IF(AND('Storage Product Mix'!N15="OK"),IF(AND(ISNUMBER('Storage Product Mix'!$M$15),ISNUMBER('Assumptions'!$D$70)),'Storage Product Mix'!$M$15*'Assumptions'!$D$70,"n.a."),"n.a.")</x:f>
        <x:v>2500</x:v>
      </x:c>
      <x:c r="M18" s="51" t="n">
        <x:f>IF(AND('Storage Product Mix'!N16="OK"),IF(AND(ISNUMBER('Storage Product Mix'!$M$16),ISNUMBER('Assumptions'!$D$70)),'Storage Product Mix'!$M$16*'Assumptions'!$D$70,"n.a."),"n.a.")</x:f>
        <x:v>2500</x:v>
      </x:c>
      <x:c r="N18" s="51" t="n">
        <x:f>IF(AND('Storage Product Mix'!N17="OK"),IF(AND(ISNUMBER('Storage Product Mix'!$M$17),ISNUMBER('Assumptions'!$D$70)),'Storage Product Mix'!$M$17*'Assumptions'!$D$70,"n.a."),"n.a.")</x:f>
        <x:v>2500</x:v>
      </x:c>
      <x:c r="O18" s="51" t="n">
        <x:f>IF(AND('Storage Product Mix'!N18="OK"),IF(AND(ISNUMBER('Storage Product Mix'!$M$18),ISNUMBER('Assumptions'!$D$70)),'Storage Product Mix'!$M$18*'Assumptions'!$D$70,"n.a."),"n.a.")</x:f>
        <x:v>85000</x:v>
      </x:c>
      <x:c r="P18" s="51" t="n">
        <x:f>IF(AND('Storage Product Mix'!N19="OK"),IF(AND(ISNUMBER('Storage Product Mix'!$M$19),ISNUMBER('Assumptions'!$D$70)),'Storage Product Mix'!$M$19*'Assumptions'!$D$70,"n.a."),"n.a.")</x:f>
        <x:v>2500</x:v>
      </x:c>
      <x:c r="Q18" s="51" t="n">
        <x:f>IF(AND('Storage Product Mix'!N20="OK"),IF(AND(ISNUMBER('Storage Product Mix'!$M$20),ISNUMBER('Assumptions'!$D$70)),'Storage Product Mix'!$M$20*'Assumptions'!$D$70,"n.a."),"n.a.")</x:f>
        <x:v>2500</x:v>
      </x:c>
      <x:c r="R18" s="51" t="n">
        <x:f>IF(AND('Storage Product Mix'!N21="OK"),IF(AND(ISNUMBER('Storage Product Mix'!$M$21),ISNUMBER('Assumptions'!$D$70)),'Storage Product Mix'!$M$21*'Assumptions'!$D$70,"n.a."),"n.a.")</x:f>
        <x:v>2500</x:v>
      </x:c>
    </x:row>
    <x:row r="19" ht="21" customHeight="1">
      <x:c r="A19" s="2"/>
      <x:c r="B19" s="2"/>
      <x:c r="C19" s="2" t="str">
        <x:v>Fixed property / entity costs</x:v>
      </x:c>
      <x:c r="D19" s="2" t="str">
        <x:v>USD</x:v>
      </x:c>
      <x:c r="E19" s="52" t="n">
        <x:f>IF(COUNT(G19:R19)=12,SUM(G19:R19),"n.a.")</x:f>
        <x:v>120000</x:v>
      </x:c>
      <x:c r="F19" s="2"/>
      <x:c r="G19" s="51" t="n">
        <x:f>IF(AND(ISNUMBER('Assumptions'!$D$55)),'Assumptions'!$D$55/12,"n.a.")</x:f>
        <x:v>10000</x:v>
      </x:c>
      <x:c r="H19" s="51" t="n">
        <x:f>IF(AND(ISNUMBER('Assumptions'!$D$55)),'Assumptions'!$D$55/12,"n.a.")</x:f>
        <x:v>10000</x:v>
      </x:c>
      <x:c r="I19" s="51" t="n">
        <x:f>IF(AND(ISNUMBER('Assumptions'!$D$55)),'Assumptions'!$D$55/12,"n.a.")</x:f>
        <x:v>10000</x:v>
      </x:c>
      <x:c r="J19" s="51" t="n">
        <x:f>IF(AND(ISNUMBER('Assumptions'!$D$55)),'Assumptions'!$D$55/12,"n.a.")</x:f>
        <x:v>10000</x:v>
      </x:c>
      <x:c r="K19" s="51" t="n">
        <x:f>IF(AND(ISNUMBER('Assumptions'!$D$55)),'Assumptions'!$D$55/12,"n.a.")</x:f>
        <x:v>10000</x:v>
      </x:c>
      <x:c r="L19" s="51" t="n">
        <x:f>IF(AND(ISNUMBER('Assumptions'!$D$55)),'Assumptions'!$D$55/12,"n.a.")</x:f>
        <x:v>10000</x:v>
      </x:c>
      <x:c r="M19" s="51" t="n">
        <x:f>IF(AND(ISNUMBER('Assumptions'!$D$55)),'Assumptions'!$D$55/12,"n.a.")</x:f>
        <x:v>10000</x:v>
      </x:c>
      <x:c r="N19" s="51" t="n">
        <x:f>IF(AND(ISNUMBER('Assumptions'!$D$55)),'Assumptions'!$D$55/12,"n.a.")</x:f>
        <x:v>10000</x:v>
      </x:c>
      <x:c r="O19" s="51" t="n">
        <x:f>IF(AND(ISNUMBER('Assumptions'!$D$55)),'Assumptions'!$D$55/12,"n.a.")</x:f>
        <x:v>10000</x:v>
      </x:c>
      <x:c r="P19" s="51" t="n">
        <x:f>IF(AND(ISNUMBER('Assumptions'!$D$55)),'Assumptions'!$D$55/12,"n.a.")</x:f>
        <x:v>10000</x:v>
      </x:c>
      <x:c r="Q19" s="51" t="n">
        <x:f>IF(AND(ISNUMBER('Assumptions'!$D$55)),'Assumptions'!$D$55/12,"n.a.")</x:f>
        <x:v>10000</x:v>
      </x:c>
      <x:c r="R19" s="51" t="n">
        <x:f>IF(AND(ISNUMBER('Assumptions'!$D$55)),'Assumptions'!$D$55/12,"n.a.")</x:f>
        <x:v>10000</x:v>
      </x:c>
    </x:row>
    <x:row r="20" ht="21" customHeight="1">
      <x:c r="A20" s="2"/>
      <x:c r="B20" s="2"/>
      <x:c r="C20" s="56" t="str">
        <x:v>Total cash operating costs</x:v>
      </x:c>
      <x:c r="D20" s="56" t="str">
        <x:v>USD</x:v>
      </x:c>
      <x:c r="E20" s="57" t="n">
        <x:f>IF(COUNT(G20:R20)=12,SUM(G20:R20),"n.a.")</x:f>
        <x:v>157838.39999999997</x:v>
      </x:c>
      <x:c r="F20" s="56"/>
      <x:c r="G20" s="57" t="n">
        <x:f>IF(AND(ISNUMBER(G17),ISNUMBER(G19)),G17+G19,"n.a.")</x:f>
        <x:v>13086</x:v>
      </x:c>
      <x:c r="H20" s="57" t="n">
        <x:f>IF(AND(ISNUMBER(H17),ISNUMBER(H19)),H17+H19,"n.a.")</x:f>
        <x:v>13086</x:v>
      </x:c>
      <x:c r="I20" s="57" t="n">
        <x:f>IF(AND(ISNUMBER(I17),ISNUMBER(I19)),I17+I19,"n.a.")</x:f>
        <x:v>13086</x:v>
      </x:c>
      <x:c r="J20" s="57" t="n">
        <x:f>IF(AND(ISNUMBER(J17),ISNUMBER(J19)),J17+J19,"n.a.")</x:f>
        <x:v>13220.4</x:v>
      </x:c>
      <x:c r="K20" s="57" t="n">
        <x:f>IF(AND(ISNUMBER(K17),ISNUMBER(K19)),K17+K19,"n.a.")</x:f>
        <x:v>13220.4</x:v>
      </x:c>
      <x:c r="L20" s="57" t="n">
        <x:f>IF(AND(ISNUMBER(L17),ISNUMBER(L19)),L17+L19,"n.a.")</x:f>
        <x:v>13220.4</x:v>
      </x:c>
      <x:c r="M20" s="57" t="n">
        <x:f>IF(AND(ISNUMBER(M17),ISNUMBER(M19)),M17+M19,"n.a.")</x:f>
        <x:v>13220.4</x:v>
      </x:c>
      <x:c r="N20" s="57" t="n">
        <x:f>IF(AND(ISNUMBER(N17),ISNUMBER(N19)),N17+N19,"n.a.")</x:f>
        <x:v>13220.4</x:v>
      </x:c>
      <x:c r="O20" s="57" t="n">
        <x:f>IF(AND(ISNUMBER(O17),ISNUMBER(O19)),O17+O19,"n.a.")</x:f>
        <x:v>13220.4</x:v>
      </x:c>
      <x:c r="P20" s="57" t="n">
        <x:f>IF(AND(ISNUMBER(P17),ISNUMBER(P19)),P17+P19,"n.a.")</x:f>
        <x:v>13086</x:v>
      </x:c>
      <x:c r="Q20" s="57" t="n">
        <x:f>IF(AND(ISNUMBER(Q17),ISNUMBER(Q19)),Q17+Q19,"n.a.")</x:f>
        <x:v>13086</x:v>
      </x:c>
      <x:c r="R20" s="57" t="n">
        <x:f>IF(AND(ISNUMBER(R17),ISNUMBER(R19)),R17+R19,"n.a.")</x:f>
        <x:v>13086</x:v>
      </x:c>
    </x:row>
    <x:row r="21" ht="21" customHeight="1">
      <x:c r="A21" s="2"/>
      <x:c r="B21" s="2"/>
      <x:c r="C21" s="56" t="str">
        <x:v>NOI / operating cash before reserves</x:v>
      </x:c>
      <x:c r="D21" s="56" t="str">
        <x:v>USD</x:v>
      </x:c>
      <x:c r="E21" s="57" t="n">
        <x:f>IF(COUNT(G21:R21)=12,SUM(G21:R21),"n.a.")</x:f>
        <x:v>381753.60000000003</x:v>
      </x:c>
      <x:c r="F21" s="56"/>
      <x:c r="G21" s="57" t="n">
        <x:f>IF(AND(ISNUMBER(G16),ISNUMBER(G20)),G16-G20,"n.a.")</x:f>
        <x:v>30998</x:v>
      </x:c>
      <x:c r="H21" s="57" t="n">
        <x:f>IF(AND(ISNUMBER(H16),ISNUMBER(H20)),H16-H20,"n.a.")</x:f>
        <x:v>30998</x:v>
      </x:c>
      <x:c r="I21" s="57" t="n">
        <x:f>IF(AND(ISNUMBER(I16),ISNUMBER(I20)),I16-I20,"n.a.")</x:f>
        <x:v>30998</x:v>
      </x:c>
      <x:c r="J21" s="57" t="n">
        <x:f>IF(AND(ISNUMBER(J16),ISNUMBER(J20)),J16-J20,"n.a.")</x:f>
        <x:v>32627.6</x:v>
      </x:c>
      <x:c r="K21" s="57" t="n">
        <x:f>IF(AND(ISNUMBER(K16),ISNUMBER(K20)),K16-K20,"n.a.")</x:f>
        <x:v>32627.6</x:v>
      </x:c>
      <x:c r="L21" s="57" t="n">
        <x:f>IF(AND(ISNUMBER(L16),ISNUMBER(L20)),L16-L20,"n.a.")</x:f>
        <x:v>32627.6</x:v>
      </x:c>
      <x:c r="M21" s="57" t="n">
        <x:f>IF(AND(ISNUMBER(M16),ISNUMBER(M20)),M16-M20,"n.a.")</x:f>
        <x:v>32627.6</x:v>
      </x:c>
      <x:c r="N21" s="57" t="n">
        <x:f>IF(AND(ISNUMBER(N16),ISNUMBER(N20)),N16-N20,"n.a.")</x:f>
        <x:v>32627.6</x:v>
      </x:c>
      <x:c r="O21" s="57" t="n">
        <x:f>IF(AND(ISNUMBER(O16),ISNUMBER(O20)),O16-O20,"n.a.")</x:f>
        <x:v>32627.6</x:v>
      </x:c>
      <x:c r="P21" s="57" t="n">
        <x:f>IF(AND(ISNUMBER(P16),ISNUMBER(P20)),P16-P20,"n.a.")</x:f>
        <x:v>30998</x:v>
      </x:c>
      <x:c r="Q21" s="57" t="n">
        <x:f>IF(AND(ISNUMBER(Q16),ISNUMBER(Q20)),Q16-Q20,"n.a.")</x:f>
        <x:v>30998</x:v>
      </x:c>
      <x:c r="R21" s="57" t="n">
        <x:f>IF(AND(ISNUMBER(R16),ISNUMBER(R20)),R16-R20,"n.a.")</x:f>
        <x:v>30998</x:v>
      </x:c>
    </x:row>
    <x:row r="22" ht="21" customHeight="1">
      <x:c r="A22" s="2"/>
      <x:c r="B22" s="2"/>
      <x:c r="C22" s="2" t="str">
        <x:v>Cash replacement reserve deposits</x:v>
      </x:c>
      <x:c r="D22" s="2" t="str">
        <x:v>USD</x:v>
      </x:c>
      <x:c r="E22" s="52" t="n">
        <x:f>IF(COUNT(G22:R22)=12,SUM(G22:R22),"n.a.")</x:f>
        <x:v>16187.760000000004</x:v>
      </x:c>
      <x:c r="F22" s="2"/>
      <x:c r="G22" s="51" t="n">
        <x:f>IF(AND(ISNUMBER(G16),ISNUMBER('Assumptions'!$D$58)),MAX(0,G16)*'Assumptions'!$D$58,"n.a.")</x:f>
        <x:v>1322.52</x:v>
      </x:c>
      <x:c r="H22" s="51" t="n">
        <x:f>IF(AND(ISNUMBER(H16),ISNUMBER('Assumptions'!$D$58)),MAX(0,H16)*'Assumptions'!$D$58,"n.a.")</x:f>
        <x:v>1322.52</x:v>
      </x:c>
      <x:c r="I22" s="51" t="n">
        <x:f>IF(AND(ISNUMBER(I16),ISNUMBER('Assumptions'!$D$58)),MAX(0,I16)*'Assumptions'!$D$58,"n.a.")</x:f>
        <x:v>1322.52</x:v>
      </x:c>
      <x:c r="J22" s="51" t="n">
        <x:f>IF(AND(ISNUMBER(J16),ISNUMBER('Assumptions'!$D$58)),MAX(0,J16)*'Assumptions'!$D$58,"n.a.")</x:f>
        <x:v>1375.44</x:v>
      </x:c>
      <x:c r="K22" s="51" t="n">
        <x:f>IF(AND(ISNUMBER(K16),ISNUMBER('Assumptions'!$D$58)),MAX(0,K16)*'Assumptions'!$D$58,"n.a.")</x:f>
        <x:v>1375.44</x:v>
      </x:c>
      <x:c r="L22" s="51" t="n">
        <x:f>IF(AND(ISNUMBER(L16),ISNUMBER('Assumptions'!$D$58)),MAX(0,L16)*'Assumptions'!$D$58,"n.a.")</x:f>
        <x:v>1375.44</x:v>
      </x:c>
      <x:c r="M22" s="51" t="n">
        <x:f>IF(AND(ISNUMBER(M16),ISNUMBER('Assumptions'!$D$58)),MAX(0,M16)*'Assumptions'!$D$58,"n.a.")</x:f>
        <x:v>1375.44</x:v>
      </x:c>
      <x:c r="N22" s="51" t="n">
        <x:f>IF(AND(ISNUMBER(N16),ISNUMBER('Assumptions'!$D$58)),MAX(0,N16)*'Assumptions'!$D$58,"n.a.")</x:f>
        <x:v>1375.44</x:v>
      </x:c>
      <x:c r="O22" s="51" t="n">
        <x:f>IF(AND(ISNUMBER(O16),ISNUMBER('Assumptions'!$D$58)),MAX(0,O16)*'Assumptions'!$D$58,"n.a.")</x:f>
        <x:v>1375.44</x:v>
      </x:c>
      <x:c r="P22" s="51" t="n">
        <x:f>IF(AND(ISNUMBER(P16),ISNUMBER('Assumptions'!$D$58)),MAX(0,P16)*'Assumptions'!$D$58,"n.a.")</x:f>
        <x:v>1322.52</x:v>
      </x:c>
      <x:c r="Q22" s="51" t="n">
        <x:f>IF(AND(ISNUMBER(Q16),ISNUMBER('Assumptions'!$D$58)),MAX(0,Q16)*'Assumptions'!$D$58,"n.a.")</x:f>
        <x:v>1322.52</x:v>
      </x:c>
      <x:c r="R22" s="51" t="n">
        <x:f>IF(AND(ISNUMBER(R16),ISNUMBER('Assumptions'!$D$58)),MAX(0,R16)*'Assumptions'!$D$58,"n.a.")</x:f>
        <x:v>1322.52</x:v>
      </x:c>
    </x:row>
    <x:row r="23" ht="21" customHeight="1">
      <x:c r="A23" s="2"/>
      <x:c r="B23" s="2"/>
      <x:c r="C23" s="56" t="str">
        <x:v>Cash NCF before property debt / capital</x:v>
      </x:c>
      <x:c r="D23" s="56" t="str">
        <x:v>USD</x:v>
      </x:c>
      <x:c r="E23" s="57" t="n">
        <x:f>IF(COUNT(G23:R23)=12,SUM(G23:R23),"n.a.")</x:f>
        <x:v>365565.83999999997</x:v>
      </x:c>
      <x:c r="F23" s="56"/>
      <x:c r="G23" s="57" t="n">
        <x:f>IF(AND(ISNUMBER(G21),ISNUMBER(G22)),G21-G22,"n.a.")</x:f>
        <x:v>29675.48</x:v>
      </x:c>
      <x:c r="H23" s="57" t="n">
        <x:f>IF(AND(ISNUMBER(H21),ISNUMBER(H22)),H21-H22,"n.a.")</x:f>
        <x:v>29675.48</x:v>
      </x:c>
      <x:c r="I23" s="57" t="n">
        <x:f>IF(AND(ISNUMBER(I21),ISNUMBER(I22)),I21-I22,"n.a.")</x:f>
        <x:v>29675.48</x:v>
      </x:c>
      <x:c r="J23" s="57" t="n">
        <x:f>IF(AND(ISNUMBER(J21),ISNUMBER(J22)),J21-J22,"n.a.")</x:f>
        <x:v>31252.16</x:v>
      </x:c>
      <x:c r="K23" s="57" t="n">
        <x:f>IF(AND(ISNUMBER(K21),ISNUMBER(K22)),K21-K22,"n.a.")</x:f>
        <x:v>31252.16</x:v>
      </x:c>
      <x:c r="L23" s="57" t="n">
        <x:f>IF(AND(ISNUMBER(L21),ISNUMBER(L22)),L21-L22,"n.a.")</x:f>
        <x:v>31252.16</x:v>
      </x:c>
      <x:c r="M23" s="57" t="n">
        <x:f>IF(AND(ISNUMBER(M21),ISNUMBER(M22)),M21-M22,"n.a.")</x:f>
        <x:v>31252.16</x:v>
      </x:c>
      <x:c r="N23" s="57" t="n">
        <x:f>IF(AND(ISNUMBER(N21),ISNUMBER(N22)),N21-N22,"n.a.")</x:f>
        <x:v>31252.16</x:v>
      </x:c>
      <x:c r="O23" s="57" t="n">
        <x:f>IF(AND(ISNUMBER(O21),ISNUMBER(O22)),O21-O22,"n.a.")</x:f>
        <x:v>31252.16</x:v>
      </x:c>
      <x:c r="P23" s="57" t="n">
        <x:f>IF(AND(ISNUMBER(P21),ISNUMBER(P22)),P21-P22,"n.a.")</x:f>
        <x:v>29675.48</x:v>
      </x:c>
      <x:c r="Q23" s="57" t="n">
        <x:f>IF(AND(ISNUMBER(Q21),ISNUMBER(Q22)),Q21-Q22,"n.a.")</x:f>
        <x:v>29675.48</x:v>
      </x:c>
      <x:c r="R23" s="57" t="n">
        <x:f>IF(AND(ISNUMBER(R21),ISNUMBER(R22)),R21-R22,"n.a.")</x:f>
        <x:v>29675.48</x:v>
      </x:c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IF(AND(ISNUMBER('Operations'!E23),ISNUMBER('Assumptions'!$D$52)),'Operations'!E23+'Assumptions'!$D$52,"n.a.")</x:f>
        <x:v>365565.83999999997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9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3609419.0635297713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3120000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4061842.6666666665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3000000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Requested ceiling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20256.21484042925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4800000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1800000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600000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2749482.9152111495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0" t="n">
        <x:f>IF(AND(ISNUMBER(D14)),D14,"n.a.")</x:f>
        <x:v>3000000</x:v>
      </x:c>
      <x:c r="H29" s="60" t="n">
        <x:f>IF(AND(ISNUMBER(G33)),G33,"n.a.")</x:f>
        <x:v>3000000</x:v>
      </x:c>
      <x:c r="I29" s="60" t="n">
        <x:f>IF(AND(ISNUMBER(H33)),H33,"n.a.")</x:f>
        <x:v>3000000</x:v>
      </x:c>
      <x:c r="J29" s="60" t="n">
        <x:f>IF(AND(ISNUMBER(I33)),I33,"n.a.")</x:f>
        <x:v>3000000</x:v>
      </x:c>
      <x:c r="K29" s="60" t="n">
        <x:f>IF(AND(ISNUMBER(J33)),J33,"n.a.")</x:f>
        <x:v>3000000</x:v>
      </x:c>
      <x:c r="L29" s="60" t="n">
        <x:f>IF(AND(ISNUMBER(K33)),K33,"n.a.")</x:f>
        <x:v>3000000</x:v>
      </x:c>
      <x:c r="M29" s="60" t="n">
        <x:f>IF(AND(ISNUMBER(L33)),L33,"n.a.")</x:f>
        <x:v>3000000</x:v>
      </x:c>
      <x:c r="N29" s="60" t="n">
        <x:f>IF(AND(ISNUMBER(M33)),M33,"n.a.")</x:f>
        <x:v>2995993.7851595706</x:v>
      </x:c>
      <x:c r="O29" s="60" t="n">
        <x:f>IF(AND(ISNUMBER(N33)),N33,"n.a.")</x:f>
        <x:v>2991965.869988756</x:v>
      </x:c>
      <x:c r="P29" s="60" t="n">
        <x:f>IF(AND(ISNUMBER(O33)),O33,"n.a.")</x:f>
        <x:v>2987916.136944099</x:v>
      </x:c>
      <x:c r="Q29" s="60" t="n">
        <x:f>IF(AND(ISNUMBER(P33)),P33,"n.a.")</x:f>
        <x:v>2983844.46784545</x:v>
      </x:c>
      <x:c r="R29" s="60" t="n">
        <x:f>IF(AND(ISNUMBER(Q33)),Q33,"n.a.")</x:f>
        <x:v>2979750.7438725173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1" t="n">
        <x:f>IF(AND(ISNUMBER(G29),ISNUMBER('Assumptions'!$D$31)),G29*'Assumptions'!$D$31/12,"n.a.")</x:f>
        <x:v>16250</x:v>
      </x:c>
      <x:c r="H30" s="61" t="n">
        <x:f>IF(AND(ISNUMBER(H29),ISNUMBER('Assumptions'!$D$31)),H29*'Assumptions'!$D$31/12,"n.a.")</x:f>
        <x:v>16250</x:v>
      </x:c>
      <x:c r="I30" s="61" t="n">
        <x:f>IF(AND(ISNUMBER(I29),ISNUMBER('Assumptions'!$D$31)),I29*'Assumptions'!$D$31/12,"n.a.")</x:f>
        <x:v>16250</x:v>
      </x:c>
      <x:c r="J30" s="61" t="n">
        <x:f>IF(AND(ISNUMBER(J29),ISNUMBER('Assumptions'!$D$31)),J29*'Assumptions'!$D$31/12,"n.a.")</x:f>
        <x:v>16250</x:v>
      </x:c>
      <x:c r="K30" s="61" t="n">
        <x:f>IF(AND(ISNUMBER(K29),ISNUMBER('Assumptions'!$D$31)),K29*'Assumptions'!$D$31/12,"n.a.")</x:f>
        <x:v>16250</x:v>
      </x:c>
      <x:c r="L30" s="61" t="n">
        <x:f>IF(AND(ISNUMBER(L29),ISNUMBER('Assumptions'!$D$31)),L29*'Assumptions'!$D$31/12,"n.a.")</x:f>
        <x:v>16250</x:v>
      </x:c>
      <x:c r="M30" s="61" t="n">
        <x:f>IF(AND(ISNUMBER(M29),ISNUMBER('Assumptions'!$D$31)),M29*'Assumptions'!$D$31/12,"n.a.")</x:f>
        <x:v>16250</x:v>
      </x:c>
      <x:c r="N30" s="61" t="n">
        <x:f>IF(AND(ISNUMBER(N29),ISNUMBER('Assumptions'!$D$31)),N29*'Assumptions'!$D$31/12,"n.a.")</x:f>
        <x:v>16228.29966961434</x:v>
      </x:c>
      <x:c r="O30" s="61" t="n">
        <x:f>IF(AND(ISNUMBER(O29),ISNUMBER('Assumptions'!$D$31)),O29*'Assumptions'!$D$31/12,"n.a.")</x:f>
        <x:v>16206.481795772428</x:v>
      </x:c>
      <x:c r="P30" s="61" t="n">
        <x:f>IF(AND(ISNUMBER(P29),ISNUMBER('Assumptions'!$D$31)),P29*'Assumptions'!$D$31/12,"n.a.")</x:f>
        <x:v>16184.545741780536</x:v>
      </x:c>
      <x:c r="Q30" s="61" t="n">
        <x:f>IF(AND(ISNUMBER(Q29),ISNUMBER('Assumptions'!$D$31)),Q29*'Assumptions'!$D$31/12,"n.a.")</x:f>
        <x:v>16162.49086749619</x:v>
      </x:c>
      <x:c r="R30" s="61" t="n">
        <x:f>IF(AND(ISNUMBER(R29),ISNUMBER('Assumptions'!$D$31)),R29*'Assumptions'!$D$31/12,"n.a.")</x:f>
        <x:v>16140.31652930947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1" t="n">
        <x:f>IF(AND(ISNUMBER('Assumptions'!$D$37),ISNUMBER(G30),ISNUMBER(G29),ISNUMBER(D16)),IF(1&lt;='Assumptions'!$D$37,G30,MIN(G29+G30,D16)),"n.a.")</x:f>
        <x:v>16250</x:v>
      </x:c>
      <x:c r="H31" s="61" t="n">
        <x:f>IF(AND(ISNUMBER('Assumptions'!$D$37),ISNUMBER(H30),ISNUMBER(H29),ISNUMBER(D16)),IF(2&lt;='Assumptions'!$D$37,H30,MIN(H29+H30,D16)),"n.a.")</x:f>
        <x:v>16250</x:v>
      </x:c>
      <x:c r="I31" s="61" t="n">
        <x:f>IF(AND(ISNUMBER('Assumptions'!$D$37),ISNUMBER(I30),ISNUMBER(I29),ISNUMBER(D16)),IF(3&lt;='Assumptions'!$D$37,I30,MIN(I29+I30,D16)),"n.a.")</x:f>
        <x:v>16250</x:v>
      </x:c>
      <x:c r="J31" s="61" t="n">
        <x:f>IF(AND(ISNUMBER('Assumptions'!$D$37),ISNUMBER(J30),ISNUMBER(J29),ISNUMBER(D16)),IF(4&lt;='Assumptions'!$D$37,J30,MIN(J29+J30,D16)),"n.a.")</x:f>
        <x:v>16250</x:v>
      </x:c>
      <x:c r="K31" s="61" t="n">
        <x:f>IF(AND(ISNUMBER('Assumptions'!$D$37),ISNUMBER(K30),ISNUMBER(K29),ISNUMBER(D16)),IF(5&lt;='Assumptions'!$D$37,K30,MIN(K29+K30,D16)),"n.a.")</x:f>
        <x:v>16250</x:v>
      </x:c>
      <x:c r="L31" s="61" t="n">
        <x:f>IF(AND(ISNUMBER('Assumptions'!$D$37),ISNUMBER(L30),ISNUMBER(L29),ISNUMBER(D16)),IF(6&lt;='Assumptions'!$D$37,L30,MIN(L29+L30,D16)),"n.a.")</x:f>
        <x:v>16250</x:v>
      </x:c>
      <x:c r="M31" s="61" t="n">
        <x:f>IF(AND(ISNUMBER('Assumptions'!$D$37),ISNUMBER(M30),ISNUMBER(M29),ISNUMBER(D16)),IF(7&lt;='Assumptions'!$D$37,M30,MIN(M29+M30,D16)),"n.a.")</x:f>
        <x:v>20256.21484042925</x:v>
      </x:c>
      <x:c r="N31" s="61" t="n">
        <x:f>IF(AND(ISNUMBER('Assumptions'!$D$37),ISNUMBER(N30),ISNUMBER(N29),ISNUMBER(D16)),IF(8&lt;='Assumptions'!$D$37,N30,MIN(N29+N30,D16)),"n.a.")</x:f>
        <x:v>20256.21484042925</x:v>
      </x:c>
      <x:c r="O31" s="61" t="n">
        <x:f>IF(AND(ISNUMBER('Assumptions'!$D$37),ISNUMBER(O30),ISNUMBER(O29),ISNUMBER(D16)),IF(9&lt;='Assumptions'!$D$37,O30,MIN(O29+O30,D16)),"n.a.")</x:f>
        <x:v>20256.21484042925</x:v>
      </x:c>
      <x:c r="P31" s="61" t="n">
        <x:f>IF(AND(ISNUMBER('Assumptions'!$D$37),ISNUMBER(P30),ISNUMBER(P29),ISNUMBER(D16)),IF(10&lt;='Assumptions'!$D$37,P30,MIN(P29+P30,D16)),"n.a.")</x:f>
        <x:v>20256.21484042925</x:v>
      </x:c>
      <x:c r="Q31" s="61" t="n">
        <x:f>IF(AND(ISNUMBER('Assumptions'!$D$37),ISNUMBER(Q30),ISNUMBER(Q29),ISNUMBER(D16)),IF(11&lt;='Assumptions'!$D$37,Q30,MIN(Q29+Q30,D16)),"n.a.")</x:f>
        <x:v>20256.21484042925</x:v>
      </x:c>
      <x:c r="R31" s="61" t="n">
        <x:f>IF(AND(ISNUMBER('Assumptions'!$D$37),ISNUMBER(R30),ISNUMBER(R29),ISNUMBER(D16)),IF(12&lt;='Assumptions'!$D$37,R30,MIN(R29+R30,D16)),"n.a.")</x:f>
        <x:v>20256.21484042925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0" t="n">
        <x:f>IF(AND(ISNUMBER(G31),ISNUMBER(G30)),G31-G30,"n.a.")</x:f>
        <x:v>0</x:v>
      </x:c>
      <x:c r="H32" s="60" t="n">
        <x:f>IF(AND(ISNUMBER(H31),ISNUMBER(H30)),H31-H30,"n.a.")</x:f>
        <x:v>0</x:v>
      </x:c>
      <x:c r="I32" s="60" t="n">
        <x:f>IF(AND(ISNUMBER(I31),ISNUMBER(I30)),I31-I30,"n.a.")</x:f>
        <x:v>0</x:v>
      </x:c>
      <x:c r="J32" s="60" t="n">
        <x:f>IF(AND(ISNUMBER(J31),ISNUMBER(J30)),J31-J30,"n.a.")</x:f>
        <x:v>0</x:v>
      </x:c>
      <x:c r="K32" s="60" t="n">
        <x:f>IF(AND(ISNUMBER(K31),ISNUMBER(K30)),K31-K30,"n.a.")</x:f>
        <x:v>0</x:v>
      </x:c>
      <x:c r="L32" s="60" t="n">
        <x:f>IF(AND(ISNUMBER(L31),ISNUMBER(L30)),L31-L30,"n.a.")</x:f>
        <x:v>0</x:v>
      </x:c>
      <x:c r="M32" s="60" t="n">
        <x:f>IF(AND(ISNUMBER(M31),ISNUMBER(M30)),M31-M30,"n.a.")</x:f>
        <x:v>4006.2148404292493</x:v>
      </x:c>
      <x:c r="N32" s="60" t="n">
        <x:f>IF(AND(ISNUMBER(N31),ISNUMBER(N30)),N31-N30,"n.a.")</x:f>
        <x:v>4027.9151708149093</x:v>
      </x:c>
      <x:c r="O32" s="60" t="n">
        <x:f>IF(AND(ISNUMBER(O31),ISNUMBER(O30)),O31-O30,"n.a.")</x:f>
        <x:v>4049.733044656821</x:v>
      </x:c>
      <x:c r="P32" s="60" t="n">
        <x:f>IF(AND(ISNUMBER(P31),ISNUMBER(P30)),P31-P30,"n.a.")</x:f>
        <x:v>4071.6690986487138</x:v>
      </x:c>
      <x:c r="Q32" s="60" t="n">
        <x:f>IF(AND(ISNUMBER(Q31),ISNUMBER(Q30)),Q31-Q30,"n.a.")</x:f>
        <x:v>4093.7239729330595</x:v>
      </x:c>
      <x:c r="R32" s="60" t="n">
        <x:f>IF(AND(ISNUMBER(R31),ISNUMBER(R30)),R31-R30,"n.a.")</x:f>
        <x:v>4115.8983111197795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0" t="n">
        <x:f>IF(AND(ISNUMBER(G29),ISNUMBER(G32),ISNUMBER(G38)),G29-G32-G38,"n.a.")</x:f>
        <x:v>3000000</x:v>
      </x:c>
      <x:c r="H33" s="60" t="n">
        <x:f>IF(AND(ISNUMBER(H29),ISNUMBER(H32),ISNUMBER(H38)),H29-H32-H38,"n.a.")</x:f>
        <x:v>3000000</x:v>
      </x:c>
      <x:c r="I33" s="60" t="n">
        <x:f>IF(AND(ISNUMBER(I29),ISNUMBER(I32),ISNUMBER(I38)),I29-I32-I38,"n.a.")</x:f>
        <x:v>3000000</x:v>
      </x:c>
      <x:c r="J33" s="60" t="n">
        <x:f>IF(AND(ISNUMBER(J29),ISNUMBER(J32),ISNUMBER(J38)),J29-J32-J38,"n.a.")</x:f>
        <x:v>3000000</x:v>
      </x:c>
      <x:c r="K33" s="60" t="n">
        <x:f>IF(AND(ISNUMBER(K29),ISNUMBER(K32),ISNUMBER(K38)),K29-K32-K38,"n.a.")</x:f>
        <x:v>3000000</x:v>
      </x:c>
      <x:c r="L33" s="60" t="n">
        <x:f>IF(AND(ISNUMBER(L29),ISNUMBER(L32),ISNUMBER(L38)),L29-L32-L38,"n.a.")</x:f>
        <x:v>3000000</x:v>
      </x:c>
      <x:c r="M33" s="60" t="n">
        <x:f>IF(AND(ISNUMBER(M29),ISNUMBER(M32),ISNUMBER(M38)),M29-M32-M38,"n.a.")</x:f>
        <x:v>2995993.7851595706</x:v>
      </x:c>
      <x:c r="N33" s="60" t="n">
        <x:f>IF(AND(ISNUMBER(N29),ISNUMBER(N32),ISNUMBER(N38)),N29-N32-N38,"n.a.")</x:f>
        <x:v>2991965.869988756</x:v>
      </x:c>
      <x:c r="O33" s="60" t="n">
        <x:f>IF(AND(ISNUMBER(O29),ISNUMBER(O32),ISNUMBER(O38)),O29-O32-O38,"n.a.")</x:f>
        <x:v>2987916.136944099</x:v>
      </x:c>
      <x:c r="P33" s="60" t="n">
        <x:f>IF(AND(ISNUMBER(P29),ISNUMBER(P32),ISNUMBER(P38)),P29-P32-P38,"n.a.")</x:f>
        <x:v>2983844.46784545</x:v>
      </x:c>
      <x:c r="Q33" s="60" t="n">
        <x:f>IF(AND(ISNUMBER(Q29),ISNUMBER(Q32),ISNUMBER(Q38)),Q29-Q32-Q38,"n.a.")</x:f>
        <x:v>2979750.7438725173</x:v>
      </x:c>
      <x:c r="R33" s="60" t="n">
        <x:f>IF(AND(ISNUMBER(R29),ISNUMBER(R32),ISNUMBER(R38)),R29-R32-R38,"n.a.")</x:f>
        <x:v>2975634.8455613973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1" t="n">
        <x:f>IF(AND(ISNUMBER('Operations'!G23)),'Operations'!G23,"n.a.")</x:f>
        <x:v>29675.48</x:v>
      </x:c>
      <x:c r="H34" s="61" t="n">
        <x:f>IF(AND(ISNUMBER('Operations'!H23)),'Operations'!H23,"n.a.")</x:f>
        <x:v>29675.48</x:v>
      </x:c>
      <x:c r="I34" s="61" t="n">
        <x:f>IF(AND(ISNUMBER('Operations'!I23)),'Operations'!I23,"n.a.")</x:f>
        <x:v>29675.48</x:v>
      </x:c>
      <x:c r="J34" s="61" t="n">
        <x:f>IF(AND(ISNUMBER('Operations'!J23)),'Operations'!J23,"n.a.")</x:f>
        <x:v>31252.16</x:v>
      </x:c>
      <x:c r="K34" s="61" t="n">
        <x:f>IF(AND(ISNUMBER('Operations'!K23)),'Operations'!K23,"n.a.")</x:f>
        <x:v>31252.16</x:v>
      </x:c>
      <x:c r="L34" s="61" t="n">
        <x:f>IF(AND(ISNUMBER('Operations'!L23)),'Operations'!L23,"n.a.")</x:f>
        <x:v>31252.16</x:v>
      </x:c>
      <x:c r="M34" s="61" t="n">
        <x:f>IF(AND(ISNUMBER('Operations'!M23)),'Operations'!M23,"n.a.")</x:f>
        <x:v>31252.16</x:v>
      </x:c>
      <x:c r="N34" s="61" t="n">
        <x:f>IF(AND(ISNUMBER('Operations'!N23)),'Operations'!N23,"n.a.")</x:f>
        <x:v>31252.16</x:v>
      </x:c>
      <x:c r="O34" s="61" t="n">
        <x:f>IF(AND(ISNUMBER('Operations'!O23)),'Operations'!O23,"n.a.")</x:f>
        <x:v>31252.16</x:v>
      </x:c>
      <x:c r="P34" s="61" t="n">
        <x:f>IF(AND(ISNUMBER('Operations'!P23)),'Operations'!P23,"n.a.")</x:f>
        <x:v>29675.48</x:v>
      </x:c>
      <x:c r="Q34" s="61" t="n">
        <x:f>IF(AND(ISNUMBER('Operations'!Q23)),'Operations'!Q23,"n.a.")</x:f>
        <x:v>29675.48</x:v>
      </x:c>
      <x:c r="R34" s="61" t="n">
        <x:f>IF(AND(ISNUMBER('Operations'!R23)),'Operations'!R23,"n.a.")</x:f>
        <x:v>29675.48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1" t="n">
        <x:f>IF(AND(ISNUMBER('Operations'!G18)),'Operations'!G18,"n.a.")</x:f>
        <x:v>2500</x:v>
      </x:c>
      <x:c r="H35" s="61" t="n">
        <x:f>IF(AND(ISNUMBER('Operations'!H18)),'Operations'!H18,"n.a.")</x:f>
        <x:v>2500</x:v>
      </x:c>
      <x:c r="I35" s="61" t="n">
        <x:f>IF(AND(ISNUMBER('Operations'!I18)),'Operations'!I18,"n.a.")</x:f>
        <x:v>2500</x:v>
      </x:c>
      <x:c r="J35" s="61" t="n">
        <x:f>IF(AND(ISNUMBER('Operations'!J18)),'Operations'!J18,"n.a.")</x:f>
        <x:v>2500</x:v>
      </x:c>
      <x:c r="K35" s="61" t="n">
        <x:f>IF(AND(ISNUMBER('Operations'!K18)),'Operations'!K18,"n.a.")</x:f>
        <x:v>2500</x:v>
      </x:c>
      <x:c r="L35" s="61" t="n">
        <x:f>IF(AND(ISNUMBER('Operations'!L18)),'Operations'!L18,"n.a.")</x:f>
        <x:v>2500</x:v>
      </x:c>
      <x:c r="M35" s="61" t="n">
        <x:f>IF(AND(ISNUMBER('Operations'!M18)),'Operations'!M18,"n.a.")</x:f>
        <x:v>2500</x:v>
      </x:c>
      <x:c r="N35" s="61" t="n">
        <x:f>IF(AND(ISNUMBER('Operations'!N18)),'Operations'!N18,"n.a.")</x:f>
        <x:v>2500</x:v>
      </x:c>
      <x:c r="O35" s="61" t="n">
        <x:f>IF(AND(ISNUMBER('Operations'!O18)),'Operations'!O18,"n.a.")</x:f>
        <x:v>85000</x:v>
      </x:c>
      <x:c r="P35" s="61" t="n">
        <x:f>IF(AND(ISNUMBER('Operations'!P18)),'Operations'!P18,"n.a.")</x:f>
        <x:v>2500</x:v>
      </x:c>
      <x:c r="Q35" s="61" t="n">
        <x:f>IF(AND(ISNUMBER('Operations'!Q18)),'Operations'!Q18,"n.a.")</x:f>
        <x:v>2500</x:v>
      </x:c>
      <x:c r="R35" s="61" t="n">
        <x:f>IF(AND(ISNUMBER('Operations'!R18)),'Operations'!R18,"n.a.")</x:f>
        <x:v>2500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0" t="n">
        <x:f>IF(AND(ISNUMBER(G34),ISNUMBER(G31),ISNUMBER(G35),ISNUMBER(G38)),G34-G31-G35-G38,"n.a.")</x:f>
        <x:v>10925.48</x:v>
      </x:c>
      <x:c r="H36" s="60" t="n">
        <x:f>IF(AND(ISNUMBER(H34),ISNUMBER(H31),ISNUMBER(H35),ISNUMBER(H38)),H34-H31-H35-H38,"n.a.")</x:f>
        <x:v>10925.48</x:v>
      </x:c>
      <x:c r="I36" s="60" t="n">
        <x:f>IF(AND(ISNUMBER(I34),ISNUMBER(I31),ISNUMBER(I35),ISNUMBER(I38)),I34-I31-I35-I38,"n.a.")</x:f>
        <x:v>10925.48</x:v>
      </x:c>
      <x:c r="J36" s="60" t="n">
        <x:f>IF(AND(ISNUMBER(J34),ISNUMBER(J31),ISNUMBER(J35),ISNUMBER(J38)),J34-J31-J35-J38,"n.a.")</x:f>
        <x:v>12502.16</x:v>
      </x:c>
      <x:c r="K36" s="60" t="n">
        <x:f>IF(AND(ISNUMBER(K34),ISNUMBER(K31),ISNUMBER(K35),ISNUMBER(K38)),K34-K31-K35-K38,"n.a.")</x:f>
        <x:v>12502.16</x:v>
      </x:c>
      <x:c r="L36" s="60" t="n">
        <x:f>IF(AND(ISNUMBER(L34),ISNUMBER(L31),ISNUMBER(L35),ISNUMBER(L38)),L34-L31-L35-L38,"n.a.")</x:f>
        <x:v>12502.16</x:v>
      </x:c>
      <x:c r="M36" s="60" t="n">
        <x:f>IF(AND(ISNUMBER(M34),ISNUMBER(M31),ISNUMBER(M35),ISNUMBER(M38)),M34-M31-M35-M38,"n.a.")</x:f>
        <x:v>8495.94515957075</x:v>
      </x:c>
      <x:c r="N36" s="60" t="n">
        <x:f>IF(AND(ISNUMBER(N34),ISNUMBER(N31),ISNUMBER(N35),ISNUMBER(N38)),N34-N31-N35-N38,"n.a.")</x:f>
        <x:v>8495.94515957075</x:v>
      </x:c>
      <x:c r="O36" s="60" t="n">
        <x:f>IF(AND(ISNUMBER(O34),ISNUMBER(O31),ISNUMBER(O35),ISNUMBER(O38)),O34-O31-O35-O38,"n.a.")</x:f>
        <x:v>-74004.05484042925</x:v>
      </x:c>
      <x:c r="P36" s="60" t="n">
        <x:f>IF(AND(ISNUMBER(P34),ISNUMBER(P31),ISNUMBER(P35),ISNUMBER(P38)),P34-P31-P35-P38,"n.a.")</x:f>
        <x:v>6919.26515957075</x:v>
      </x:c>
      <x:c r="Q36" s="60" t="n">
        <x:f>IF(AND(ISNUMBER(Q34),ISNUMBER(Q31),ISNUMBER(Q35),ISNUMBER(Q38)),Q34-Q31-Q35-Q38,"n.a.")</x:f>
        <x:v>6919.26515957075</x:v>
      </x:c>
      <x:c r="R36" s="60" t="n">
        <x:f>IF(AND(ISNUMBER(R34),ISNUMBER(R31),ISNUMBER(R35),ISNUMBER(R38)),R34-R31-R35-R38,"n.a.")</x:f>
        <x:v>6919.26515957075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1" t="n">
        <x:f>IF(AND(ISNUMBER('Assumptions'!$D$22),ISNUMBER(G36)),'Assumptions'!$D$22+G36,"n.a.")</x:f>
        <x:v>160925.48</x:v>
      </x:c>
      <x:c r="H37" s="60" t="n">
        <x:f>IF(AND(ISNUMBER(G37),ISNUMBER(H36)),G37+H36,"n.a.")</x:f>
        <x:v>171850.96000000002</x:v>
      </x:c>
      <x:c r="I37" s="60" t="n">
        <x:f>IF(AND(ISNUMBER(H37),ISNUMBER(I36)),H37+I36,"n.a.")</x:f>
        <x:v>182776.44000000003</x:v>
      </x:c>
      <x:c r="J37" s="60" t="n">
        <x:f>IF(AND(ISNUMBER(I37),ISNUMBER(J36)),I37+J36,"n.a.")</x:f>
        <x:v>195278.60000000003</x:v>
      </x:c>
      <x:c r="K37" s="60" t="n">
        <x:f>IF(AND(ISNUMBER(J37),ISNUMBER(K36)),J37+K36,"n.a.")</x:f>
        <x:v>207780.76000000004</x:v>
      </x:c>
      <x:c r="L37" s="60" t="n">
        <x:f>IF(AND(ISNUMBER(K37),ISNUMBER(L36)),K37+L36,"n.a.")</x:f>
        <x:v>220282.92000000004</x:v>
      </x:c>
      <x:c r="M37" s="60" t="n">
        <x:f>IF(AND(ISNUMBER(L37),ISNUMBER(M36)),L37+M36,"n.a.")</x:f>
        <x:v>228778.8651595708</x:v>
      </x:c>
      <x:c r="N37" s="60" t="n">
        <x:f>IF(AND(ISNUMBER(M37),ISNUMBER(N36)),M37+N36,"n.a.")</x:f>
        <x:v>237274.81031914154</x:v>
      </x:c>
      <x:c r="O37" s="60" t="n">
        <x:f>IF(AND(ISNUMBER(N37),ISNUMBER(O36)),N37+O36,"n.a.")</x:f>
        <x:v>163270.7554787123</x:v>
      </x:c>
      <x:c r="P37" s="60" t="n">
        <x:f>IF(AND(ISNUMBER(O37),ISNUMBER(P36)),O37+P36,"n.a.")</x:f>
        <x:v>170190.02063828305</x:v>
      </x:c>
      <x:c r="Q37" s="60" t="n">
        <x:f>IF(AND(ISNUMBER(P37),ISNUMBER(Q36)),P37+Q36,"n.a.")</x:f>
        <x:v>177109.2857978538</x:v>
      </x:c>
      <x:c r="R37" s="60" t="n">
        <x:f>IF(AND(ISNUMBER(Q37),ISNUMBER(R36)),Q37+R36,"n.a.")</x:f>
        <x:v>184028.55095742457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1" t="n">
        <x:f>IF(AND(ISNUMBER('Assumptions'!$D$40),ISNUMBER(G29),ISNUMBER(G32)),IF(1='Assumptions'!$D$40,G29-G32,0),"n.a.")</x:f>
        <x:v>0</x:v>
      </x:c>
      <x:c r="H38" s="61" t="n">
        <x:f>IF(AND(ISNUMBER('Assumptions'!$D$40),ISNUMBER(H29),ISNUMBER(H32)),IF(2='Assumptions'!$D$40,H29-H32,0),"n.a.")</x:f>
        <x:v>0</x:v>
      </x:c>
      <x:c r="I38" s="61" t="n">
        <x:f>IF(AND(ISNUMBER('Assumptions'!$D$40),ISNUMBER(I29),ISNUMBER(I32)),IF(3='Assumptions'!$D$40,I29-I32,0),"n.a.")</x:f>
        <x:v>0</x:v>
      </x:c>
      <x:c r="J38" s="61" t="n">
        <x:f>IF(AND(ISNUMBER('Assumptions'!$D$40),ISNUMBER(J29),ISNUMBER(J32)),IF(4='Assumptions'!$D$40,J29-J32,0),"n.a.")</x:f>
        <x:v>0</x:v>
      </x:c>
      <x:c r="K38" s="61" t="n">
        <x:f>IF(AND(ISNUMBER('Assumptions'!$D$40),ISNUMBER(K29),ISNUMBER(K32)),IF(5='Assumptions'!$D$40,K29-K32,0),"n.a.")</x:f>
        <x:v>0</x:v>
      </x:c>
      <x:c r="L38" s="61" t="n">
        <x:f>IF(AND(ISNUMBER('Assumptions'!$D$40),ISNUMBER(L29),ISNUMBER(L32)),IF(6='Assumptions'!$D$40,L29-L32,0),"n.a.")</x:f>
        <x:v>0</x:v>
      </x:c>
      <x:c r="M38" s="61" t="n">
        <x:f>IF(AND(ISNUMBER('Assumptions'!$D$40),ISNUMBER(M29),ISNUMBER(M32)),IF(7='Assumptions'!$D$40,M29-M32,0),"n.a.")</x:f>
        <x:v>0</x:v>
      </x:c>
      <x:c r="N38" s="61" t="n">
        <x:f>IF(AND(ISNUMBER('Assumptions'!$D$40),ISNUMBER(N29),ISNUMBER(N32)),IF(8='Assumptions'!$D$40,N29-N32,0),"n.a.")</x:f>
        <x:v>0</x:v>
      </x:c>
      <x:c r="O38" s="61" t="n">
        <x:f>IF(AND(ISNUMBER('Assumptions'!$D$40),ISNUMBER(O29),ISNUMBER(O32)),IF(9='Assumptions'!$D$40,O29-O32,0),"n.a.")</x:f>
        <x:v>0</x:v>
      </x:c>
      <x:c r="P38" s="61" t="n">
        <x:f>IF(AND(ISNUMBER('Assumptions'!$D$40),ISNUMBER(P29),ISNUMBER(P32)),IF(10='Assumptions'!$D$40,P29-P32,0),"n.a.")</x:f>
        <x:v>0</x:v>
      </x:c>
      <x:c r="Q38" s="61" t="n">
        <x:f>IF(AND(ISNUMBER('Assumptions'!$D$40),ISNUMBER(Q29),ISNUMBER(Q32)),IF(11='Assumptions'!$D$40,Q29-Q32,0),"n.a.")</x:f>
        <x:v>0</x:v>
      </x:c>
      <x:c r="R38" s="61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219037.28904257552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2" t="n">
        <x:f>IF(AND(ISNUMBER(D43),ISNUMBER(D9)),IF(D43=0,"n.a.",D9/D43),"n.a.")</x:f>
        <x:v>1.6689662367440226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2975634.8455613973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600000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184028.55095742457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1" t="n">
        <x:f>24-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,'Assumptions'!$D$76,'Assumptions'!$D$79)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1" t="n">
        <x:f>COUNTIFS('Storage Product Mix'!N10:N21,"Missing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1" t="n">
        <x:f>IF(AND(ISNUMBER('Operations'!E21),ISNUMBER('Operations'!E16),ISNUMBER('Operations'!E20)),'Operations'!E21-'Operations'!E16+'Operations'!E20,"n.a.")</x:f>
        <x:v>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1" t="n">
        <x:f>IF(AND(ISNUMBER('Operations'!E23),ISNUMBER('Operations'!E21),ISNUMBER('Operations'!E22)),'Operations'!E23-'Operations'!E21+'Operations'!E22,"n.a.")</x:f>
        <x:v>-6.366462912410498e-11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1" t="n">
        <x:f>IF(COUNT('Debt and Funding'!G32:R32)=12,'Debt and Funding'!D14-SUM('Debt and Funding'!G32:R32)-SUM('Debt and Funding'!G38:R38)-'Debt and Funding'!D45,"n.a.")</x:f>
        <x:v>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1" t="n">
        <x:f>IF(COUNT('Debt and Funding'!G34:R36)=36,'Debt and Funding'!R37-'Assumptions'!$D$22-SUM('Debt and Funding'!G34:R34)+SUM('Debt and Funding'!G31:R31)+SUM('Debt and Funding'!G35:R35)+SUM('Debt and Funding'!G38:R38),"n.a.")</x:f>
        <x:v>1.1641532182693481e-10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1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Enclosed, covered and outdoor spaces are disjoint inventories with separate prices and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paying fractions. Never place the same physical stall in two categories. Fractional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paying spaces are monthly economic averages.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Paying fractions already reflect vacancy, nonpayment and concessions. Enter effective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rent and paying fractions consistently so a discount is deducted once. Seasonality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follows the monthly entries, not a national seasonal assumption.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Servicing costs differ by product and apply to paying spaces. Continuing taxes,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insurance, security and other costs belong in fixed costs. Roof, access and surfacing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capital is below NCF.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Scope is storage parking, excluding overnight accommodation, marina berths, repair and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fuel businesses. Stall dimensions, turning paths, access, flood exposure and permitted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uses are separate diligence matters.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 t="str">
        <x:v>Published by Jaken Finance Group. 833-264-7776 | info@jakenfinancegroup.com.</x:v>
      </x:c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 t="str">
        <x:v>Every numerical assumption is illustrative. No current market quote, legal conclusion or</x:v>
      </x:c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lender eligibility is represented.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 t="str">
        <x:v>NCF is a modeled cash measure after cash reserve deposits. An actual lender may adjust</x:v>
      </x:c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income, expenses, reserves, tax and business cash differently.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 t="str">
        <x:v>No tax return, appraisal, legal compliance, guaranty capacity or refinancing approval is</x:v>
      </x:c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established by the calculations.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 t="str">
        <x:v>Calculation methods and conventions are shown here. Check Review and replace</x:v>
      </x:c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 t="str">
        <x:v>illustrative inputs before relying on results.</x:v>
      </x:c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