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618597ec9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b92799beff8b49b5"/>
    <x:sheet xmlns:r="http://schemas.openxmlformats.org/officeDocument/2006/relationships" name="Assumptions" sheetId="2" r:id="R7bd335b0e261429a"/>
    <x:sheet xmlns:r="http://schemas.openxmlformats.org/officeDocument/2006/relationships" name="Home Delivery and Leasing" sheetId="3" r:id="R2bcb7ab64da647d7"/>
    <x:sheet xmlns:r="http://schemas.openxmlformats.org/officeDocument/2006/relationships" name="Operations" sheetId="4" r:id="Rd6268e6d1d294002"/>
    <x:sheet xmlns:r="http://schemas.openxmlformats.org/officeDocument/2006/relationships" name="Debt and Funding" sheetId="5" r:id="Rd0682cc272444fcb"/>
    <x:sheet xmlns:r="http://schemas.openxmlformats.org/officeDocument/2006/relationships" name="Review" sheetId="6" r:id="R01817b7b733542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.00##;($#,##0.00##);&quot;—&quot;"/>
    <x:numFmt numFmtId="203" formatCode="  @"/>
    <x:numFmt numFmtId="204" formatCode="0.0%;(0.0%);&quot;—&quot;"/>
    <x:numFmt numFmtId="205" formatCode="0.00&quot;x&quot;"/>
    <x:numFmt numFmtId="206" formatCode="mmm-yy"/>
    <x:numFmt numFmtId="207" formatCode="$#,##0;($#,##0);&quot;—&quot;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2" fontId="7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0" fillId="4" borderId="0" xfId="0" applyNumberFormat="1" applyFont="1" applyFill="1" applyBorder="1" applyAlignment="1">
      <x:alignment vertical="center"/>
    </x:xf>
    <x:xf numFmtId="204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4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3" fontId="13" fillId="0" borderId="0" xfId="0" applyNumberFormat="1" applyFont="1" applyFill="1" applyBorder="1" applyAlignment="1">
      <x:alignment vertical="center"/>
    </x:xf>
    <x:xf numFmtId="204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6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6" fontId="4" fillId="3" borderId="0" xfId="0" applyNumberFormat="1" applyFont="1" applyFill="1" applyBorder="1" applyAlignment="1">
      <x:alignment horizontal="center" vertical="center" wrapText="1"/>
    </x:xf>
    <x:xf numFmtId="206" fontId="8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7" fontId="3" fillId="0" borderId="0" xfId="0" applyNumberFormat="1" applyFont="1" applyFill="1" applyBorder="1" applyAlignment="1">
      <x:alignment vertical="center"/>
    </x:xf>
    <x:xf numFmtId="207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7" fontId="10" fillId="0" borderId="0" xfId="0" applyNumberFormat="1" applyFont="1" applyFill="1" applyBorder="1" applyAlignment="1">
      <x:alignment vertical="center"/>
    </x:xf>
    <x:xf numFmtId="207" fontId="4" fillId="0" borderId="0" xfId="0" applyNumberFormat="1" applyFont="1" applyFill="1" applyBorder="1" applyAlignment="1">
      <x:alignment vertical="center"/>
    </x:xf>
    <x:xf numFmtId="207" fontId="10" fillId="4" borderId="0" xfId="0" applyNumberFormat="1" applyFont="1" applyFill="1" applyBorder="1" applyAlignment="1">
      <x:alignment vertical="center"/>
    </x:xf>
    <x:xf numFmtId="207" fontId="4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7" fontId="10" fillId="4" borderId="1" xfId="0" applyNumberFormat="1" applyFont="1" applyFill="1" applyBorder="1" applyAlignment="1">
      <x:alignment vertical="center"/>
    </x:xf>
    <x:xf numFmtId="207" fontId="4" fillId="4" borderId="1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7" fontId="6" fillId="0" borderId="0" xfId="0" applyNumberFormat="1" applyFont="1" applyFill="1" applyBorder="1" applyAlignment="1">
      <x:alignment horizontal="right" vertical="center"/>
    </x:xf>
    <x:xf numFmtId="207" fontId="3" fillId="0" borderId="0" xfId="0" applyNumberFormat="1" applyFont="1" applyFill="1" applyBorder="1" applyAlignment="1">
      <x:alignment horizontal="right" vertical="center"/>
    </x:xf>
    <x:xf numFmtId="205" fontId="6" fillId="0" borderId="0" xfId="0" applyNumberFormat="1" applyFont="1" applyFill="1" applyBorder="1" applyAlignment="1">
      <x:alignment vertical="center"/>
    </x:xf>
    <x:xf numFmtId="207" fontId="9" fillId="0" borderId="0" xfId="0" applyNumberFormat="1" applyFont="1" applyFill="1" applyBorder="1" applyAlignment="1">
      <x:alignment vertical="center"/>
    </x:xf>
    <x:xf numFmtId="207" fontId="9" fillId="4" borderId="0" xfId="0" applyNumberFormat="1" applyFont="1" applyFill="1" applyBorder="1" applyAlignment="1">
      <x:alignment vertical="center"/>
    </x:xf>
    <x:xf numFmtId="207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11d5241114886" /><Relationship Type="http://schemas.openxmlformats.org/officeDocument/2006/relationships/theme" Target="/xl/theme/theme1.xml" Id="R2a65666e796d40bc" /><Relationship Type="http://schemas.openxmlformats.org/officeDocument/2006/relationships/sharedStrings" Target="/xl/sharedStrings.xml" Id="R312d9eb927244291" /><Relationship Type="http://schemas.openxmlformats.org/officeDocument/2006/relationships/worksheet" Target="/xl/worksheets/sheet1.xml" Id="Rb92799beff8b49b5" /><Relationship Type="http://schemas.openxmlformats.org/officeDocument/2006/relationships/worksheet" Target="/xl/worksheets/sheet2.xml" Id="R7bd335b0e261429a" /><Relationship Type="http://schemas.openxmlformats.org/officeDocument/2006/relationships/worksheet" Target="/xl/worksheets/sheet3.xml" Id="R2bcb7ab64da647d7" /><Relationship Type="http://schemas.openxmlformats.org/officeDocument/2006/relationships/worksheet" Target="/xl/worksheets/sheet4.xml" Id="Rd6268e6d1d294002" /><Relationship Type="http://schemas.openxmlformats.org/officeDocument/2006/relationships/worksheet" Target="/xl/worksheets/sheet5.xml" Id="Rd0682cc272444fcb" /><Relationship Type="http://schemas.openxmlformats.org/officeDocument/2006/relationships/worksheet" Target="/xl/worksheets/sheet6.xml" Id="R01817b7b733542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Build-to-rent communities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50" t="n">
        <x:f>'Operations'!E19</x:f>
        <x:v>2252670</x:v>
      </x:c>
      <x:c r="E10" s="2"/>
      <x:c r="F10" s="2"/>
      <x:c r="G10" s="71" t="n">
        <x:f>'Operations'!G9</x:f>
        <x:v>46388</x:v>
      </x:c>
      <x:c r="H10" s="72" t="n">
        <x:f>'Debt and Funding'!G36</x:f>
        <x:v>-132813.70833333334</x:v>
      </x:c>
      <x:c r="I10" s="72" t="n">
        <x:f>'Debt and Funding'!G37</x:f>
        <x:v>167186.29166666666</x:v>
      </x:c>
      <x:c r="J10" s="72" t="n">
        <x:f>'Debt and Funding'!G33</x:f>
        <x:v>11000000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50" t="n">
        <x:f>'Operations'!E23</x:f>
        <x:v>548000</x:v>
      </x:c>
      <x:c r="E11" s="2"/>
      <x:c r="F11" s="2"/>
      <x:c r="G11" s="71" t="n">
        <x:f>'Operations'!H9</x:f>
        <x:v>46419</x:v>
      </x:c>
      <x:c r="H11" s="72" t="n">
        <x:f>'Debt and Funding'!H36</x:f>
        <x:v>-114814.05833333335</x:v>
      </x:c>
      <x:c r="I11" s="72" t="n">
        <x:f>'Debt and Funding'!H37</x:f>
        <x:v>52372.23333333331</x:v>
      </x:c>
      <x:c r="J11" s="72" t="n">
        <x:f>'Debt and Funding'!H33</x:f>
        <x:v>11000000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50" t="n">
        <x:f>'Operations'!E24</x:f>
        <x:v>1704670</x:v>
      </x:c>
      <x:c r="E12" s="2"/>
      <x:c r="F12" s="2"/>
      <x:c r="G12" s="71" t="n">
        <x:f>'Operations'!I9</x:f>
        <x:v>46447</x:v>
      </x:c>
      <x:c r="H12" s="72" t="n">
        <x:f>'Debt and Funding'!I36</x:f>
        <x:v>-96814.40833333333</x:v>
      </x:c>
      <x:c r="I12" s="72" t="n">
        <x:f>'Debt and Funding'!I37</x:f>
        <x:v>-44442.17500000002</x:v>
      </x:c>
      <x:c r="J12" s="72" t="n">
        <x:f>'Debt and Funding'!I33</x:f>
        <x:v>11000000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50" t="n">
        <x:f>'Operations'!E25</x:f>
        <x:v>67580.09999999999</x:v>
      </x:c>
      <x:c r="E13" s="2"/>
      <x:c r="F13" s="2"/>
      <x:c r="G13" s="71" t="n">
        <x:f>'Operations'!J9</x:f>
        <x:v>46478</x:v>
      </x:c>
      <x:c r="H13" s="72" t="n">
        <x:f>'Debt and Funding'!J36</x:f>
        <x:v>-78814.75833333333</x:v>
      </x:c>
      <x:c r="I13" s="72" t="n">
        <x:f>'Debt and Funding'!J37</x:f>
        <x:v>-123256.93333333335</x:v>
      </x:c>
      <x:c r="J13" s="72" t="n">
        <x:f>'Debt and Funding'!J33</x:f>
        <x:v>11000000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50" t="n">
        <x:f>'Operations'!E26</x:f>
        <x:v>1637089.9000000004</x:v>
      </x:c>
      <x:c r="E14" s="2"/>
      <x:c r="F14" s="2"/>
      <x:c r="G14" s="71" t="n">
        <x:f>'Operations'!K9</x:f>
        <x:v>46508</x:v>
      </x:c>
      <x:c r="H14" s="72" t="n">
        <x:f>'Debt and Funding'!K36</x:f>
        <x:v>70671.04166666666</x:v>
      </x:c>
      <x:c r="I14" s="72" t="n">
        <x:f>'Debt and Funding'!K37</x:f>
        <x:v>-52585.89166666669</x:v>
      </x:c>
      <x:c r="J14" s="72" t="n">
        <x:f>'Debt and Funding'!K33</x:f>
        <x:v>11000000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50" t="n">
        <x:f>'Debt and Funding'!D9</x:f>
        <x:v>1637089.9000000004</x:v>
      </x:c>
      <x:c r="E15" s="2"/>
      <x:c r="F15" s="2"/>
      <x:c r="G15" s="71" t="n">
        <x:f>'Operations'!L9</x:f>
        <x:v>46539</x:v>
      </x:c>
      <x:c r="H15" s="72" t="n">
        <x:f>'Debt and Funding'!L36</x:f>
        <x:v>85642.99166666667</x:v>
      </x:c>
      <x:c r="I15" s="72" t="n">
        <x:f>'Debt and Funding'!L37</x:f>
        <x:v>33057.09999999998</x:v>
      </x:c>
      <x:c r="J15" s="72" t="n">
        <x:f>'Debt and Funding'!L33</x:f>
        <x:v>11000000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50" t="n">
        <x:f>'Debt and Funding'!D11</x:f>
        <x:v>16163828.364740122</x:v>
      </x:c>
      <x:c r="E16" s="2"/>
      <x:c r="F16" s="2"/>
      <x:c r="G16" s="71" t="n">
        <x:f>'Operations'!M9</x:f>
        <x:v>46569</x:v>
      </x:c>
      <x:c r="H16" s="72" t="n">
        <x:f>'Debt and Funding'!M36</x:f>
        <x:v>80816.01225175941</x:v>
      </x:c>
      <x:c r="I16" s="72" t="n">
        <x:f>'Debt and Funding'!M37</x:f>
        <x:v>113873.11225175939</x:v>
      </x:c>
      <x:c r="J16" s="72" t="n">
        <x:f>'Debt and Funding'!M33</x:f>
        <x:v>10985310.545585092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50" t="n">
        <x:f>'Debt and Funding'!D12</x:f>
        <x:v>12350000</x:v>
      </x:c>
      <x:c r="E17" s="2"/>
      <x:c r="F17" s="2"/>
      <x:c r="G17" s="71" t="n">
        <x:f>'Operations'!N9</x:f>
        <x:v>46600</x:v>
      </x:c>
      <x:c r="H17" s="72" t="n">
        <x:f>'Debt and Funding'!N36</x:f>
        <x:v>80816.01225175941</x:v>
      </x:c>
      <x:c r="I17" s="72" t="n">
        <x:f>'Debt and Funding'!N37</x:f>
        <x:v>194689.1245035188</x:v>
      </x:c>
      <x:c r="J17" s="72" t="n">
        <x:f>'Debt and Funding'!N33</x:f>
        <x:v>10970541.523292104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50" t="n">
        <x:f>'Debt and Funding'!D13</x:f>
        <x:v>18189887.777777784</x:v>
      </x:c>
      <x:c r="E18" s="2"/>
      <x:c r="F18" s="2"/>
      <x:c r="G18" s="71" t="n">
        <x:f>'Operations'!O9</x:f>
        <x:v>46631</x:v>
      </x:c>
      <x:c r="H18" s="72" t="n">
        <x:f>'Debt and Funding'!O36</x:f>
        <x:v>80816.01225175941</x:v>
      </x:c>
      <x:c r="I18" s="72" t="n">
        <x:f>'Debt and Funding'!O37</x:f>
        <x:v>275505.1367552782</x:v>
      </x:c>
      <x:c r="J18" s="72" t="n">
        <x:f>'Debt and Funding'!O33</x:f>
        <x:v>10955692.502128363</x:v>
      </x:c>
      <x:c r="K18" s="2"/>
      <x:c r="L18" s="2"/>
    </x:row>
    <x:row r="19" ht="21" customHeight="1">
      <x:c r="A19" s="2"/>
      <x:c r="B19" s="2"/>
      <x:c r="C19" s="58" t="str">
        <x:v>Sized loan</x:v>
      </x:c>
      <x:c r="D19" s="68" t="n">
        <x:f>'Debt and Funding'!D14</x:f>
        <x:v>11000000</x:v>
      </x:c>
      <x:c r="E19" s="2"/>
      <x:c r="F19" s="2"/>
      <x:c r="G19" s="71" t="n">
        <x:f>'Operations'!P9</x:f>
        <x:v>46661</x:v>
      </x:c>
      <x:c r="H19" s="72" t="n">
        <x:f>'Debt and Funding'!P36</x:f>
        <x:v>80816.01225175941</x:v>
      </x:c>
      <x:c r="I19" s="72" t="n">
        <x:f>'Debt and Funding'!P37</x:f>
        <x:v>356321.14900703763</x:v>
      </x:c>
      <x:c r="J19" s="72" t="n">
        <x:f>'Debt and Funding'!P33</x:f>
        <x:v>10940763.04876665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9" t="str">
        <x:f>'Debt and Funding'!D15</x:f>
        <x:v>Requested ceiling</x:v>
      </x:c>
      <x:c r="E20" s="2"/>
      <x:c r="F20" s="2"/>
      <x:c r="G20" s="71" t="n">
        <x:f>'Operations'!Q9</x:f>
        <x:v>46692</x:v>
      </x:c>
      <x:c r="H20" s="72" t="n">
        <x:f>'Debt and Funding'!Q36</x:f>
        <x:v>80816.01225175941</x:v>
      </x:c>
      <x:c r="I20" s="72" t="n">
        <x:f>'Debt and Funding'!Q37</x:f>
        <x:v>437137.16125879704</x:v>
      </x:c>
      <x:c r="J20" s="72" t="n">
        <x:f>'Debt and Funding'!Q33</x:f>
        <x:v>10925752.727532562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50" t="n">
        <x:f>'Debt and Funding'!D43</x:f>
        <x:v>803136.7264894436</x:v>
      </x:c>
      <x:c r="E21" s="2"/>
      <x:c r="F21" s="2"/>
      <x:c r="G21" s="71" t="n">
        <x:f>'Operations'!R9</x:f>
        <x:v>46722</x:v>
      </x:c>
      <x:c r="H21" s="72" t="n">
        <x:f>'Debt and Funding'!R36</x:f>
        <x:v>80816.01225175941</x:v>
      </x:c>
      <x:c r="I21" s="72" t="n">
        <x:f>'Debt and Funding'!R37</x:f>
        <x:v>517953.17351055646</x:v>
      </x:c>
      <x:c r="J21" s="72" t="n">
        <x:f>'Debt and Funding'!R33</x:f>
        <x:v>10910661.10039179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70" t="n">
        <x:f>'Debt and Funding'!D44</x:f>
        <x:v>2.0383701130887313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50" t="n">
        <x:f>'Debt and Funding'!D18</x:f>
        <x:v>4550000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50" t="n">
        <x:f>'Debt and Funding'!D19</x:f>
        <x:v>3450000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50" t="n">
        <x:f>'Debt and Funding'!D46</x:f>
        <x:v>123256.93333333335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8" t="str">
        <x:v>Sponsor cash after all modeled needs</x:v>
      </x:c>
      <x:c r="D26" s="68" t="n">
        <x:f>'Debt and Funding'!D47</x:f>
        <x:v>3326743.0666666664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50" t="n">
        <x:f>'Debt and Funding'!D45</x:f>
        <x:v>10910661.10039179</x:v>
      </x:c>
      <x:c r="E27" s="2"/>
      <x:c r="F27" s="2"/>
      <x:c r="G27" s="2" t="str">
        <x:v>Edit blue cells in Home Delivery and Leasing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50" t="n">
        <x:f>'Debt and Funding'!D20</x:f>
        <x:v>10081437.355774214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19000000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19000000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16500000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15000000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15000000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15000000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300000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300000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300000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8000000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8000000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8000000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11000000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11000000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11000000</x:v>
      </x:c>
      <x:c r="E30" s="2"/>
      <x:c r="F30" s="2"/>
      <x:c r="G30" s="42" t="str">
        <x:v>Deliveries are homes already legally occupiable. They are capped by planned homes. Leases cannot exceed delivered inventory; requested move-ins above capacity do not create revenue.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75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42" t="str">
        <x:v>Move-outs and move-ins use a midmonth convention. Average opening and closing leases drive rent; average delivered homes drive unit costs. Fractional homes are planning averages.</x:v>
      </x:c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75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42" t="str">
        <x:v>Collection fraction excludes separately entered concessions. Do not reduce collections for the same concessions twice. Fixed costs exclude the community and delivered-home costs entered in the source schedule.</x:v>
      </x:c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75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42" t="str">
        <x:v>This is a delivery-to-operating-cash model, not a construction draw or stabilized takeout model. Enter remaining completion cash below NCF, excluding costs already included in the acquisition price. Debt sizing uses the modeled first year; completion or quantitative capacity does not establish permanent-loan eligibility.</x:v>
      </x:c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300000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300000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330000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4" t="str">
        <x:v>Total planned homes</x:v>
      </x:c>
      <x:c r="D73" s="37" t="n">
        <x:f>IF($D$5=1,IF(ISNUMBER(D74),IF(AND(D74&gt;=0,D74&lt;=1000000000000),D74,"n.a."),"n.a."),IF($D$5=2,IF(ISNUMBER(D75),IF(AND(D75&gt;=0,D75&lt;=1000000000000),D75,"n.a."),"n.a."),"n.a."))</x:f>
        <x:v>100</x:v>
      </x:c>
      <x:c r="E73" s="22" t="str">
        <x:v>homes</x:v>
      </x:c>
      <x:c r="F73" s="2"/>
      <x:c r="G73" s="2"/>
      <x:c r="H73" s="2"/>
      <x:c r="I73" s="2"/>
      <x:c r="J73" s="2"/>
    </x:row>
    <x:row r="74" ht="21" customHeight="1">
      <x:c r="A74" s="2"/>
      <x:c r="B74" s="2"/>
      <x:c r="C74" s="28" t="str">
        <x:v>Base</x:v>
      </x:c>
      <x:c r="D74" s="16" t="n">
        <x:v>100</x:v>
      </x:c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8" t="str">
        <x:v>Downside</x:v>
      </x:c>
      <x:c r="D75" s="16" t="n">
        <x:v>100</x:v>
      </x:c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24" t="str">
        <x:v>Opening legally occupiable homes</x:v>
      </x:c>
      <x:c r="D76" s="37" t="n">
        <x:f>IF($D$5=1,IF(ISNUMBER(D77),IF(AND(D77&gt;=0,D77&lt;=1000000000000),D77,"n.a."),"n.a."),IF($D$5=2,IF(ISNUMBER(D78),IF(AND(D78&gt;=0,D78&lt;=1000000000000),D78,"n.a."),"n.a."),"n.a."))</x:f>
        <x:v>60</x:v>
      </x:c>
      <x:c r="E76" s="22" t="str">
        <x:v>homes</x:v>
      </x:c>
      <x:c r="F76" s="2"/>
      <x:c r="G76" s="2"/>
      <x:c r="H76" s="2"/>
      <x:c r="I76" s="2"/>
      <x:c r="J76" s="2"/>
    </x:row>
    <x:row r="77" ht="21" customHeight="1">
      <x:c r="A77" s="2"/>
      <x:c r="B77" s="2"/>
      <x:c r="C77" s="28" t="str">
        <x:v>Base</x:v>
      </x:c>
      <x:c r="D77" s="16" t="n">
        <x:v>60</x:v>
      </x:c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8" t="str">
        <x:v>Downside</x:v>
      </x:c>
      <x:c r="D78" s="16" t="n">
        <x:v>60</x:v>
      </x:c>
      <x:c r="E78" s="2"/>
      <x:c r="F78" s="2"/>
      <x:c r="G78" s="2"/>
      <x:c r="H78" s="2"/>
      <x:c r="I78" s="2"/>
      <x:c r="J78" s="2"/>
    </x:row>
    <x:row r="79" ht="21" customHeight="1">
      <x:c r="A79" s="2"/>
      <x:c r="B79" s="2"/>
      <x:c r="C79" s="24" t="str">
        <x:v>Opening leased homes</x:v>
      </x:c>
      <x:c r="D79" s="37" t="n">
        <x:f>IF($D$5=1,IF(ISNUMBER(D80),IF(AND(D80&gt;=0,D80&lt;=1000000000000),D80,"n.a."),"n.a."),IF($D$5=2,IF(ISNUMBER(D81),IF(AND(D81&gt;=0,D81&lt;=1000000000000),D81,"n.a."),"n.a."),"n.a."))</x:f>
        <x:v>48</x:v>
      </x:c>
      <x:c r="E79" s="22" t="str">
        <x:v>homes</x:v>
      </x:c>
      <x:c r="F79" s="2"/>
      <x:c r="G79" s="2"/>
      <x:c r="H79" s="2"/>
      <x:c r="I79" s="2"/>
      <x:c r="J79" s="2"/>
    </x:row>
    <x:row r="80" ht="21" customHeight="1">
      <x:c r="A80" s="2"/>
      <x:c r="B80" s="2"/>
      <x:c r="C80" s="28" t="str">
        <x:v>Base</x:v>
      </x:c>
      <x:c r="D80" s="16" t="n">
        <x:v>48</x:v>
      </x:c>
      <x:c r="E80" s="2"/>
      <x:c r="F80" s="2"/>
      <x:c r="G80" s="2"/>
      <x:c r="H80" s="2"/>
      <x:c r="I80" s="2"/>
      <x:c r="J80" s="2"/>
    </x:row>
    <x:row r="81" ht="21" customHeight="1">
      <x:c r="A81" s="2"/>
      <x:c r="B81" s="2"/>
      <x:c r="C81" s="28" t="str">
        <x:v>Downside</x:v>
      </x:c>
      <x:c r="D81" s="16" t="n">
        <x:v>42</x:v>
      </x:c>
      <x:c r="E81" s="2"/>
      <x:c r="F81" s="2"/>
      <x:c r="G81" s="2"/>
      <x:c r="H81" s="2"/>
      <x:c r="I81" s="2"/>
      <x:c r="J81" s="2"/>
    </x:row>
    <x:row r="82" ht="21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 ht="21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 ht="21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  <x:row r="85" ht="21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</x:row>
    <x:row r="86" ht="21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</x:row>
    <x:row r="87" ht="21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</x:row>
  </x:sheetData>
  <x:dataValidations count="50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  <x:dataValidation type="decimal" operator="between" sqref="D74">
      <x:formula1>0</x:formula1>
      <x:formula2>1000000000000</x:formula2>
    </x:dataValidation>
    <x:dataValidation type="decimal" operator="between" sqref="D75">
      <x:formula1>0</x:formula1>
      <x:formula2>1000000000000</x:formula2>
    </x:dataValidation>
    <x:dataValidation type="decimal" operator="between" sqref="D77">
      <x:formula1>0</x:formula1>
      <x:formula2>1000000000000</x:formula2>
    </x:dataValidation>
    <x:dataValidation type="decimal" operator="between" sqref="D78">
      <x:formula1>0</x:formula1>
      <x:formula2>1000000000000</x:formula2>
    </x:dataValidation>
    <x:dataValidation type="decimal" operator="between" sqref="D80">
      <x:formula1>0</x:formula1>
      <x:formula2>1000000000000</x:formula2>
    </x:dataValidation>
    <x:dataValidation type="decimal" operator="between" sqref="D81">
      <x:formula1>0</x:formula1>
      <x:formula2>1000000000000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Home Delivery and Leasing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New legally occupiable homes</x:v>
      </x:c>
      <x:c r="E9" s="21" t="str">
        <x:v>Requested move-ins</x:v>
      </x:c>
      <x:c r="F9" s="21" t="str">
        <x:v>Move-outs</x:v>
      </x:c>
      <x:c r="G9" s="21" t="str">
        <x:v>Monthly rent / leased home</x:v>
      </x:c>
      <x:c r="H9" s="21" t="str">
        <x:v>Rent collection fraction</x:v>
      </x:c>
      <x:c r="I9" s="21" t="str">
        <x:v>Concession / new move-in</x:v>
      </x:c>
      <x:c r="J9" s="21" t="str">
        <x:v>Monthly cost / delivered home</x:v>
      </x:c>
      <x:c r="K9" s="21" t="str">
        <x:v>Completion and community capital</x:v>
      </x:c>
      <x:c r="L9" s="21" t="str">
        <x:v>Other community operating costs</x:v>
      </x:c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16" t="n">
        <x:v>10</x:v>
      </x:c>
      <x:c r="E10" s="16" t="n">
        <x:v>10</x:v>
      </x:c>
      <x:c r="F10" s="16" t="n">
        <x:v>1</x:v>
      </x:c>
      <x:c r="G10" s="27" t="n">
        <x:v>2250</x:v>
      </x:c>
      <x:c r="H10" s="30" t="n">
        <x:v>0.98</x:v>
      </x:c>
      <x:c r="I10" s="27" t="n">
        <x:v>350</x:v>
      </x:c>
      <x:c r="J10" s="27" t="n">
        <x:v>125</x:v>
      </x:c>
      <x:c r="K10" s="27" t="n">
        <x:v>140000</x:v>
      </x:c>
      <x:c r="L10" s="27" t="n">
        <x:v>9000</x:v>
      </x:c>
      <x:c r="M10" s="2"/>
      <x:c r="N10" s="13" t="str">
        <x:f>IF(AND(IF(ISNUMBER(D10),AND(D10&gt;=0,D10&lt;=1000000000000),FALSE),IF(ISNUMBER(E10),AND(E10&gt;=0,E10&lt;=1000000000000),FALSE),IF(ISNUMBER(F10),AND(F10&gt;=0,F10&lt;=1000000000000),FALSE),IF(ISNUMBER(G10),AND(G10&gt;=0,G10&lt;=1000000000000),FALSE),IF(ISNUMBER(H10),AND(H10&gt;=0,H10&lt;=1),FALSE),IF(ISNUMBER(I10),AND(I10&gt;=0,I10&lt;=1000000000000),FALSE),IF(ISNUMBER(J10),AND(J10&gt;=0,J10&lt;=1000000000000),FALSE),IF(ISNUMBER(K10),AND(K10&gt;=0,K10&lt;=1000000000000),FALSE),IF(ISNUMBER(L10),AND(L10&gt;=0,L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16" t="n">
        <x:v>10</x:v>
      </x:c>
      <x:c r="E11" s="16" t="n">
        <x:v>10</x:v>
      </x:c>
      <x:c r="F11" s="16" t="n">
        <x:v>1</x:v>
      </x:c>
      <x:c r="G11" s="27" t="n">
        <x:v>2250</x:v>
      </x:c>
      <x:c r="H11" s="30" t="n">
        <x:v>0.98</x:v>
      </x:c>
      <x:c r="I11" s="27" t="n">
        <x:v>350</x:v>
      </x:c>
      <x:c r="J11" s="27" t="n">
        <x:v>125</x:v>
      </x:c>
      <x:c r="K11" s="27" t="n">
        <x:v>140000</x:v>
      </x:c>
      <x:c r="L11" s="27" t="n">
        <x:v>9000</x:v>
      </x:c>
      <x:c r="M11" s="2"/>
      <x:c r="N11" s="13" t="str">
        <x:f>IF(AND(IF(ISNUMBER(D11),AND(D11&gt;=0,D11&lt;=1000000000000),FALSE),IF(ISNUMBER(E11),AND(E11&gt;=0,E11&lt;=1000000000000),FALSE),IF(ISNUMBER(F11),AND(F11&gt;=0,F11&lt;=1000000000000),FALSE),IF(ISNUMBER(G11),AND(G11&gt;=0,G11&lt;=1000000000000),FALSE),IF(ISNUMBER(H11),AND(H11&gt;=0,H11&lt;=1),FALSE),IF(ISNUMBER(I11),AND(I11&gt;=0,I11&lt;=1000000000000),FALSE),IF(ISNUMBER(J11),AND(J11&gt;=0,J11&lt;=1000000000000),FALSE),IF(ISNUMBER(K11),AND(K11&gt;=0,K11&lt;=1000000000000),FALSE),IF(ISNUMBER(L11),AND(L11&gt;=0,L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16" t="n">
        <x:v>10</x:v>
      </x:c>
      <x:c r="E12" s="16" t="n">
        <x:v>10</x:v>
      </x:c>
      <x:c r="F12" s="16" t="n">
        <x:v>1</x:v>
      </x:c>
      <x:c r="G12" s="27" t="n">
        <x:v>2250</x:v>
      </x:c>
      <x:c r="H12" s="30" t="n">
        <x:v>0.98</x:v>
      </x:c>
      <x:c r="I12" s="27" t="n">
        <x:v>350</x:v>
      </x:c>
      <x:c r="J12" s="27" t="n">
        <x:v>125</x:v>
      </x:c>
      <x:c r="K12" s="27" t="n">
        <x:v>140000</x:v>
      </x:c>
      <x:c r="L12" s="27" t="n">
        <x:v>9000</x:v>
      </x:c>
      <x:c r="M12" s="2"/>
      <x:c r="N12" s="13" t="str">
        <x:f>IF(AND(IF(ISNUMBER(D12),AND(D12&gt;=0,D12&lt;=1000000000000),FALSE),IF(ISNUMBER(E12),AND(E12&gt;=0,E12&lt;=1000000000000),FALSE),IF(ISNUMBER(F12),AND(F12&gt;=0,F12&lt;=1000000000000),FALSE),IF(ISNUMBER(G12),AND(G12&gt;=0,G12&lt;=1000000000000),FALSE),IF(ISNUMBER(H12),AND(H12&gt;=0,H12&lt;=1),FALSE),IF(ISNUMBER(I12),AND(I12&gt;=0,I12&lt;=1000000000000),FALSE),IF(ISNUMBER(J12),AND(J12&gt;=0,J12&lt;=1000000000000),FALSE),IF(ISNUMBER(K12),AND(K12&gt;=0,K12&lt;=1000000000000),FALSE),IF(ISNUMBER(L12),AND(L12&gt;=0,L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16" t="n">
        <x:v>10</x:v>
      </x:c>
      <x:c r="E13" s="16" t="n">
        <x:v>10</x:v>
      </x:c>
      <x:c r="F13" s="16" t="n">
        <x:v>1</x:v>
      </x:c>
      <x:c r="G13" s="27" t="n">
        <x:v>2250</x:v>
      </x:c>
      <x:c r="H13" s="30" t="n">
        <x:v>0.98</x:v>
      </x:c>
      <x:c r="I13" s="27" t="n">
        <x:v>350</x:v>
      </x:c>
      <x:c r="J13" s="27" t="n">
        <x:v>125</x:v>
      </x:c>
      <x:c r="K13" s="27" t="n">
        <x:v>140000</x:v>
      </x:c>
      <x:c r="L13" s="27" t="n">
        <x:v>9000</x:v>
      </x:c>
      <x:c r="M13" s="2"/>
      <x:c r="N13" s="13" t="str">
        <x:f>IF(AND(IF(ISNUMBER(D13),AND(D13&gt;=0,D13&lt;=1000000000000),FALSE),IF(ISNUMBER(E13),AND(E13&gt;=0,E13&lt;=1000000000000),FALSE),IF(ISNUMBER(F13),AND(F13&gt;=0,F13&lt;=1000000000000),FALSE),IF(ISNUMBER(G13),AND(G13&gt;=0,G13&lt;=1000000000000),FALSE),IF(ISNUMBER(H13),AND(H13&gt;=0,H13&lt;=1),FALSE),IF(ISNUMBER(I13),AND(I13&gt;=0,I13&lt;=1000000000000),FALSE),IF(ISNUMBER(J13),AND(J13&gt;=0,J13&lt;=1000000000000),FALSE),IF(ISNUMBER(K13),AND(K13&gt;=0,K13&lt;=1000000000000),FALSE),IF(ISNUMBER(L13),AND(L13&gt;=0,L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16" t="n">
        <x:v>0</x:v>
      </x:c>
      <x:c r="E14" s="16" t="n">
        <x:v>10</x:v>
      </x:c>
      <x:c r="F14" s="16" t="n">
        <x:v>3</x:v>
      </x:c>
      <x:c r="G14" s="27" t="n">
        <x:v>2250</x:v>
      </x:c>
      <x:c r="H14" s="30" t="n">
        <x:v>0.98</x:v>
      </x:c>
      <x:c r="I14" s="27" t="n">
        <x:v>350</x:v>
      </x:c>
      <x:c r="J14" s="27" t="n">
        <x:v>125</x:v>
      </x:c>
      <x:c r="K14" s="27" t="n">
        <x:v>7000</x:v>
      </x:c>
      <x:c r="L14" s="27" t="n">
        <x:v>9000</x:v>
      </x:c>
      <x:c r="M14" s="2"/>
      <x:c r="N14" s="13" t="str">
        <x:f>IF(AND(IF(ISNUMBER(D14),AND(D14&gt;=0,D14&lt;=1000000000000),FALSE),IF(ISNUMBER(E14),AND(E14&gt;=0,E14&lt;=1000000000000),FALSE),IF(ISNUMBER(F14),AND(F14&gt;=0,F14&lt;=1000000000000),FALSE),IF(ISNUMBER(G14),AND(G14&gt;=0,G14&lt;=1000000000000),FALSE),IF(ISNUMBER(H14),AND(H14&gt;=0,H14&lt;=1),FALSE),IF(ISNUMBER(I14),AND(I14&gt;=0,I14&lt;=1000000000000),FALSE),IF(ISNUMBER(J14),AND(J14&gt;=0,J14&lt;=1000000000000),FALSE),IF(ISNUMBER(K14),AND(K14&gt;=0,K14&lt;=1000000000000),FALSE),IF(ISNUMBER(L14),AND(L14&gt;=0,L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16" t="n">
        <x:v>0</x:v>
      </x:c>
      <x:c r="E15" s="16" t="n">
        <x:v>10</x:v>
      </x:c>
      <x:c r="F15" s="16" t="n">
        <x:v>3</x:v>
      </x:c>
      <x:c r="G15" s="27" t="n">
        <x:v>2250</x:v>
      </x:c>
      <x:c r="H15" s="30" t="n">
        <x:v>0.98</x:v>
      </x:c>
      <x:c r="I15" s="27" t="n">
        <x:v>350</x:v>
      </x:c>
      <x:c r="J15" s="27" t="n">
        <x:v>125</x:v>
      </x:c>
      <x:c r="K15" s="27" t="n">
        <x:v>7000</x:v>
      </x:c>
      <x:c r="L15" s="27" t="n">
        <x:v>9000</x:v>
      </x:c>
      <x:c r="M15" s="2"/>
      <x:c r="N15" s="13" t="str">
        <x:f>IF(AND(IF(ISNUMBER(D15),AND(D15&gt;=0,D15&lt;=1000000000000),FALSE),IF(ISNUMBER(E15),AND(E15&gt;=0,E15&lt;=1000000000000),FALSE),IF(ISNUMBER(F15),AND(F15&gt;=0,F15&lt;=1000000000000),FALSE),IF(ISNUMBER(G15),AND(G15&gt;=0,G15&lt;=1000000000000),FALSE),IF(ISNUMBER(H15),AND(H15&gt;=0,H15&lt;=1),FALSE),IF(ISNUMBER(I15),AND(I15&gt;=0,I15&lt;=1000000000000),FALSE),IF(ISNUMBER(J15),AND(J15&gt;=0,J15&lt;=1000000000000),FALSE),IF(ISNUMBER(K15),AND(K15&gt;=0,K15&lt;=1000000000000),FALSE),IF(ISNUMBER(L15),AND(L15&gt;=0,L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16" t="n">
        <x:v>0</x:v>
      </x:c>
      <x:c r="E16" s="16" t="n">
        <x:v>3</x:v>
      </x:c>
      <x:c r="F16" s="16" t="n">
        <x:v>3</x:v>
      </x:c>
      <x:c r="G16" s="27" t="n">
        <x:v>2250</x:v>
      </x:c>
      <x:c r="H16" s="30" t="n">
        <x:v>0.98</x:v>
      </x:c>
      <x:c r="I16" s="27" t="n">
        <x:v>350</x:v>
      </x:c>
      <x:c r="J16" s="27" t="n">
        <x:v>125</x:v>
      </x:c>
      <x:c r="K16" s="27" t="n">
        <x:v>7000</x:v>
      </x:c>
      <x:c r="L16" s="27" t="n">
        <x:v>9000</x:v>
      </x:c>
      <x:c r="M16" s="2"/>
      <x:c r="N16" s="13" t="str">
        <x:f>IF(AND(IF(ISNUMBER(D16),AND(D16&gt;=0,D16&lt;=1000000000000),FALSE),IF(ISNUMBER(E16),AND(E16&gt;=0,E16&lt;=1000000000000),FALSE),IF(ISNUMBER(F16),AND(F16&gt;=0,F16&lt;=1000000000000),FALSE),IF(ISNUMBER(G16),AND(G16&gt;=0,G16&lt;=1000000000000),FALSE),IF(ISNUMBER(H16),AND(H16&gt;=0,H16&lt;=1),FALSE),IF(ISNUMBER(I16),AND(I16&gt;=0,I16&lt;=1000000000000),FALSE),IF(ISNUMBER(J16),AND(J16&gt;=0,J16&lt;=1000000000000),FALSE),IF(ISNUMBER(K16),AND(K16&gt;=0,K16&lt;=1000000000000),FALSE),IF(ISNUMBER(L16),AND(L16&gt;=0,L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16" t="n">
        <x:v>0</x:v>
      </x:c>
      <x:c r="E17" s="16" t="n">
        <x:v>3</x:v>
      </x:c>
      <x:c r="F17" s="16" t="n">
        <x:v>3</x:v>
      </x:c>
      <x:c r="G17" s="27" t="n">
        <x:v>2250</x:v>
      </x:c>
      <x:c r="H17" s="30" t="n">
        <x:v>0.98</x:v>
      </x:c>
      <x:c r="I17" s="27" t="n">
        <x:v>350</x:v>
      </x:c>
      <x:c r="J17" s="27" t="n">
        <x:v>125</x:v>
      </x:c>
      <x:c r="K17" s="27" t="n">
        <x:v>7000</x:v>
      </x:c>
      <x:c r="L17" s="27" t="n">
        <x:v>9000</x:v>
      </x:c>
      <x:c r="M17" s="2"/>
      <x:c r="N17" s="13" t="str">
        <x:f>IF(AND(IF(ISNUMBER(D17),AND(D17&gt;=0,D17&lt;=1000000000000),FALSE),IF(ISNUMBER(E17),AND(E17&gt;=0,E17&lt;=1000000000000),FALSE),IF(ISNUMBER(F17),AND(F17&gt;=0,F17&lt;=1000000000000),FALSE),IF(ISNUMBER(G17),AND(G17&gt;=0,G17&lt;=1000000000000),FALSE),IF(ISNUMBER(H17),AND(H17&gt;=0,H17&lt;=1),FALSE),IF(ISNUMBER(I17),AND(I17&gt;=0,I17&lt;=1000000000000),FALSE),IF(ISNUMBER(J17),AND(J17&gt;=0,J17&lt;=1000000000000),FALSE),IF(ISNUMBER(K17),AND(K17&gt;=0,K17&lt;=1000000000000),FALSE),IF(ISNUMBER(L17),AND(L17&gt;=0,L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16" t="n">
        <x:v>0</x:v>
      </x:c>
      <x:c r="E18" s="16" t="n">
        <x:v>3</x:v>
      </x:c>
      <x:c r="F18" s="16" t="n">
        <x:v>3</x:v>
      </x:c>
      <x:c r="G18" s="27" t="n">
        <x:v>2250</x:v>
      </x:c>
      <x:c r="H18" s="30" t="n">
        <x:v>0.98</x:v>
      </x:c>
      <x:c r="I18" s="27" t="n">
        <x:v>350</x:v>
      </x:c>
      <x:c r="J18" s="27" t="n">
        <x:v>125</x:v>
      </x:c>
      <x:c r="K18" s="27" t="n">
        <x:v>7000</x:v>
      </x:c>
      <x:c r="L18" s="27" t="n">
        <x:v>9000</x:v>
      </x:c>
      <x:c r="M18" s="2"/>
      <x:c r="N18" s="13" t="str">
        <x:f>IF(AND(IF(ISNUMBER(D18),AND(D18&gt;=0,D18&lt;=1000000000000),FALSE),IF(ISNUMBER(E18),AND(E18&gt;=0,E18&lt;=1000000000000),FALSE),IF(ISNUMBER(F18),AND(F18&gt;=0,F18&lt;=1000000000000),FALSE),IF(ISNUMBER(G18),AND(G18&gt;=0,G18&lt;=1000000000000),FALSE),IF(ISNUMBER(H18),AND(H18&gt;=0,H18&lt;=1),FALSE),IF(ISNUMBER(I18),AND(I18&gt;=0,I18&lt;=1000000000000),FALSE),IF(ISNUMBER(J18),AND(J18&gt;=0,J18&lt;=1000000000000),FALSE),IF(ISNUMBER(K18),AND(K18&gt;=0,K18&lt;=1000000000000),FALSE),IF(ISNUMBER(L18),AND(L18&gt;=0,L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16" t="n">
        <x:v>0</x:v>
      </x:c>
      <x:c r="E19" s="16" t="n">
        <x:v>3</x:v>
      </x:c>
      <x:c r="F19" s="16" t="n">
        <x:v>3</x:v>
      </x:c>
      <x:c r="G19" s="27" t="n">
        <x:v>2250</x:v>
      </x:c>
      <x:c r="H19" s="30" t="n">
        <x:v>0.98</x:v>
      </x:c>
      <x:c r="I19" s="27" t="n">
        <x:v>350</x:v>
      </x:c>
      <x:c r="J19" s="27" t="n">
        <x:v>125</x:v>
      </x:c>
      <x:c r="K19" s="27" t="n">
        <x:v>7000</x:v>
      </x:c>
      <x:c r="L19" s="27" t="n">
        <x:v>9000</x:v>
      </x:c>
      <x:c r="M19" s="2"/>
      <x:c r="N19" s="13" t="str">
        <x:f>IF(AND(IF(ISNUMBER(D19),AND(D19&gt;=0,D19&lt;=1000000000000),FALSE),IF(ISNUMBER(E19),AND(E19&gt;=0,E19&lt;=1000000000000),FALSE),IF(ISNUMBER(F19),AND(F19&gt;=0,F19&lt;=1000000000000),FALSE),IF(ISNUMBER(G19),AND(G19&gt;=0,G19&lt;=1000000000000),FALSE),IF(ISNUMBER(H19),AND(H19&gt;=0,H19&lt;=1),FALSE),IF(ISNUMBER(I19),AND(I19&gt;=0,I19&lt;=1000000000000),FALSE),IF(ISNUMBER(J19),AND(J19&gt;=0,J19&lt;=1000000000000),FALSE),IF(ISNUMBER(K19),AND(K19&gt;=0,K19&lt;=1000000000000),FALSE),IF(ISNUMBER(L19),AND(L19&gt;=0,L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16" t="n">
        <x:v>0</x:v>
      </x:c>
      <x:c r="E20" s="16" t="n">
        <x:v>3</x:v>
      </x:c>
      <x:c r="F20" s="16" t="n">
        <x:v>3</x:v>
      </x:c>
      <x:c r="G20" s="27" t="n">
        <x:v>2250</x:v>
      </x:c>
      <x:c r="H20" s="30" t="n">
        <x:v>0.98</x:v>
      </x:c>
      <x:c r="I20" s="27" t="n">
        <x:v>350</x:v>
      </x:c>
      <x:c r="J20" s="27" t="n">
        <x:v>125</x:v>
      </x:c>
      <x:c r="K20" s="27" t="n">
        <x:v>7000</x:v>
      </x:c>
      <x:c r="L20" s="27" t="n">
        <x:v>9000</x:v>
      </x:c>
      <x:c r="M20" s="2"/>
      <x:c r="N20" s="13" t="str">
        <x:f>IF(AND(IF(ISNUMBER(D20),AND(D20&gt;=0,D20&lt;=1000000000000),FALSE),IF(ISNUMBER(E20),AND(E20&gt;=0,E20&lt;=1000000000000),FALSE),IF(ISNUMBER(F20),AND(F20&gt;=0,F20&lt;=1000000000000),FALSE),IF(ISNUMBER(G20),AND(G20&gt;=0,G20&lt;=1000000000000),FALSE),IF(ISNUMBER(H20),AND(H20&gt;=0,H20&lt;=1),FALSE),IF(ISNUMBER(I20),AND(I20&gt;=0,I20&lt;=1000000000000),FALSE),IF(ISNUMBER(J20),AND(J20&gt;=0,J20&lt;=1000000000000),FALSE),IF(ISNUMBER(K20),AND(K20&gt;=0,K20&lt;=1000000000000),FALSE),IF(ISNUMBER(L20),AND(L20&gt;=0,L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16" t="n">
        <x:v>0</x:v>
      </x:c>
      <x:c r="E21" s="16" t="n">
        <x:v>3</x:v>
      </x:c>
      <x:c r="F21" s="16" t="n">
        <x:v>3</x:v>
      </x:c>
      <x:c r="G21" s="27" t="n">
        <x:v>2250</x:v>
      </x:c>
      <x:c r="H21" s="30" t="n">
        <x:v>0.98</x:v>
      </x:c>
      <x:c r="I21" s="27" t="n">
        <x:v>350</x:v>
      </x:c>
      <x:c r="J21" s="27" t="n">
        <x:v>125</x:v>
      </x:c>
      <x:c r="K21" s="27" t="n">
        <x:v>7000</x:v>
      </x:c>
      <x:c r="L21" s="27" t="n">
        <x:v>9000</x:v>
      </x:c>
      <x:c r="M21" s="2"/>
      <x:c r="N21" s="13" t="str">
        <x:f>IF(AND(IF(ISNUMBER(D21),AND(D21&gt;=0,D21&lt;=1000000000000),FALSE),IF(ISNUMBER(E21),AND(E21&gt;=0,E21&lt;=1000000000000),FALSE),IF(ISNUMBER(F21),AND(F21&gt;=0,F21&lt;=1000000000000),FALSE),IF(ISNUMBER(G21),AND(G21&gt;=0,G21&lt;=1000000000000),FALSE),IF(ISNUMBER(H21),AND(H21&gt;=0,H21&lt;=1),FALSE),IF(ISNUMBER(I21),AND(I21&gt;=0,I21&lt;=1000000000000),FALSE),IF(ISNUMBER(J21),AND(J21&gt;=0,J21&lt;=1000000000000),FALSE),IF(ISNUMBER(K21),AND(K21&gt;=0,K21&lt;=1000000000000),FALSE),IF(ISNUMBER(L21),AND(L21&gt;=0,L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108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1000000000000</x:formula2>
    </x:dataValidation>
    <x:dataValidation type="decimal" operator="between" sqref="G10">
      <x:formula1>0</x:formula1>
      <x:formula2>1000000000000</x:formula2>
    </x:dataValidation>
    <x:dataValidation type="decimal" operator="between" sqref="H10">
      <x:formula1>0</x:formula1>
      <x:formula2>1</x:formula2>
    </x:dataValidation>
    <x:dataValidation type="decimal" operator="between" sqref="I10">
      <x:formula1>0</x:formula1>
      <x:formula2>1000000000000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1000000000000</x:formula2>
    </x:dataValidation>
    <x:dataValidation type="decimal" operator="between" sqref="L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1000000000000</x:formula2>
    </x:dataValidation>
    <x:dataValidation type="decimal" operator="between" sqref="G11">
      <x:formula1>0</x:formula1>
      <x:formula2>1000000000000</x:formula2>
    </x:dataValidation>
    <x:dataValidation type="decimal" operator="between" sqref="H11">
      <x:formula1>0</x:formula1>
      <x:formula2>1</x:formula2>
    </x:dataValidation>
    <x:dataValidation type="decimal" operator="between" sqref="I11">
      <x:formula1>0</x:formula1>
      <x:formula2>1000000000000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1000000000000</x:formula2>
    </x:dataValidation>
    <x:dataValidation type="decimal" operator="between" sqref="L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1000000000000</x:formula2>
    </x:dataValidation>
    <x:dataValidation type="decimal" operator="between" sqref="G12">
      <x:formula1>0</x:formula1>
      <x:formula2>1000000000000</x:formula2>
    </x:dataValidation>
    <x:dataValidation type="decimal" operator="between" sqref="H12">
      <x:formula1>0</x:formula1>
      <x:formula2>1</x:formula2>
    </x:dataValidation>
    <x:dataValidation type="decimal" operator="between" sqref="I12">
      <x:formula1>0</x:formula1>
      <x:formula2>1000000000000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1000000000000</x:formula2>
    </x:dataValidation>
    <x:dataValidation type="decimal" operator="between" sqref="L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1000000000000</x:formula2>
    </x:dataValidation>
    <x:dataValidation type="decimal" operator="between" sqref="F13">
      <x:formula1>0</x:formula1>
      <x:formula2>1000000000000</x:formula2>
    </x:dataValidation>
    <x:dataValidation type="decimal" operator="between" sqref="G13">
      <x:formula1>0</x:formula1>
      <x:formula2>1000000000000</x:formula2>
    </x:dataValidation>
    <x:dataValidation type="decimal" operator="between" sqref="H13">
      <x:formula1>0</x:formula1>
      <x:formula2>1</x:formula2>
    </x:dataValidation>
    <x:dataValidation type="decimal" operator="between" sqref="I13">
      <x:formula1>0</x:formula1>
      <x:formula2>1000000000000</x:formula2>
    </x:dataValidation>
    <x:dataValidation type="decimal" operator="between" sqref="J13">
      <x:formula1>0</x:formula1>
      <x:formula2>1000000000000</x:formula2>
    </x:dataValidation>
    <x:dataValidation type="decimal" operator="between" sqref="K13">
      <x:formula1>0</x:formula1>
      <x:formula2>1000000000000</x:formula2>
    </x:dataValidation>
    <x:dataValidation type="decimal" operator="between" sqref="L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1000000000000</x:formula2>
    </x:dataValidation>
    <x:dataValidation type="decimal" operator="between" sqref="F14">
      <x:formula1>0</x:formula1>
      <x:formula2>1000000000000</x:formula2>
    </x:dataValidation>
    <x:dataValidation type="decimal" operator="between" sqref="G14">
      <x:formula1>0</x:formula1>
      <x:formula2>1000000000000</x:formula2>
    </x:dataValidation>
    <x:dataValidation type="decimal" operator="between" sqref="H14">
      <x:formula1>0</x:formula1>
      <x:formula2>1</x:formula2>
    </x:dataValidation>
    <x:dataValidation type="decimal" operator="between" sqref="I14">
      <x:formula1>0</x:formula1>
      <x:formula2>1000000000000</x:formula2>
    </x:dataValidation>
    <x:dataValidation type="decimal" operator="between" sqref="J14">
      <x:formula1>0</x:formula1>
      <x:formula2>1000000000000</x:formula2>
    </x:dataValidation>
    <x:dataValidation type="decimal" operator="between" sqref="K14">
      <x:formula1>0</x:formula1>
      <x:formula2>1000000000000</x:formula2>
    </x:dataValidation>
    <x:dataValidation type="decimal" operator="between" sqref="L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1000000000000</x:formula2>
    </x:dataValidation>
    <x:dataValidation type="decimal" operator="between" sqref="F15">
      <x:formula1>0</x:formula1>
      <x:formula2>1000000000000</x:formula2>
    </x:dataValidation>
    <x:dataValidation type="decimal" operator="between" sqref="G15">
      <x:formula1>0</x:formula1>
      <x:formula2>1000000000000</x:formula2>
    </x:dataValidation>
    <x:dataValidation type="decimal" operator="between" sqref="H15">
      <x:formula1>0</x:formula1>
      <x:formula2>1</x:formula2>
    </x:dataValidation>
    <x:dataValidation type="decimal" operator="between" sqref="I15">
      <x:formula1>0</x:formula1>
      <x:formula2>1000000000000</x:formula2>
    </x:dataValidation>
    <x:dataValidation type="decimal" operator="between" sqref="J15">
      <x:formula1>0</x:formula1>
      <x:formula2>1000000000000</x:formula2>
    </x:dataValidation>
    <x:dataValidation type="decimal" operator="between" sqref="K15">
      <x:formula1>0</x:formula1>
      <x:formula2>1000000000000</x:formula2>
    </x:dataValidation>
    <x:dataValidation type="decimal" operator="between" sqref="L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1000000000000</x:formula2>
    </x:dataValidation>
    <x:dataValidation type="decimal" operator="between" sqref="F16">
      <x:formula1>0</x:formula1>
      <x:formula2>1000000000000</x:formula2>
    </x:dataValidation>
    <x:dataValidation type="decimal" operator="between" sqref="G16">
      <x:formula1>0</x:formula1>
      <x:formula2>1000000000000</x:formula2>
    </x:dataValidation>
    <x:dataValidation type="decimal" operator="between" sqref="H16">
      <x:formula1>0</x:formula1>
      <x:formula2>1</x:formula2>
    </x:dataValidation>
    <x:dataValidation type="decimal" operator="between" sqref="I16">
      <x:formula1>0</x:formula1>
      <x:formula2>1000000000000</x:formula2>
    </x:dataValidation>
    <x:dataValidation type="decimal" operator="between" sqref="J16">
      <x:formula1>0</x:formula1>
      <x:formula2>1000000000000</x:formula2>
    </x:dataValidation>
    <x:dataValidation type="decimal" operator="between" sqref="K16">
      <x:formula1>0</x:formula1>
      <x:formula2>1000000000000</x:formula2>
    </x:dataValidation>
    <x:dataValidation type="decimal" operator="between" sqref="L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1000000000000</x:formula2>
    </x:dataValidation>
    <x:dataValidation type="decimal" operator="between" sqref="F17">
      <x:formula1>0</x:formula1>
      <x:formula2>1000000000000</x:formula2>
    </x:dataValidation>
    <x:dataValidation type="decimal" operator="between" sqref="G17">
      <x:formula1>0</x:formula1>
      <x:formula2>1000000000000</x:formula2>
    </x:dataValidation>
    <x:dataValidation type="decimal" operator="between" sqref="H17">
      <x:formula1>0</x:formula1>
      <x:formula2>1</x:formula2>
    </x:dataValidation>
    <x:dataValidation type="decimal" operator="between" sqref="I17">
      <x:formula1>0</x:formula1>
      <x:formula2>1000000000000</x:formula2>
    </x:dataValidation>
    <x:dataValidation type="decimal" operator="between" sqref="J17">
      <x:formula1>0</x:formula1>
      <x:formula2>1000000000000</x:formula2>
    </x:dataValidation>
    <x:dataValidation type="decimal" operator="between" sqref="K17">
      <x:formula1>0</x:formula1>
      <x:formula2>1000000000000</x:formula2>
    </x:dataValidation>
    <x:dataValidation type="decimal" operator="between" sqref="L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1000000000000</x:formula2>
    </x:dataValidation>
    <x:dataValidation type="decimal" operator="between" sqref="F18">
      <x:formula1>0</x:formula1>
      <x:formula2>1000000000000</x:formula2>
    </x:dataValidation>
    <x:dataValidation type="decimal" operator="between" sqref="G18">
      <x:formula1>0</x:formula1>
      <x:formula2>1000000000000</x:formula2>
    </x:dataValidation>
    <x:dataValidation type="decimal" operator="between" sqref="H18">
      <x:formula1>0</x:formula1>
      <x:formula2>1</x:formula2>
    </x:dataValidation>
    <x:dataValidation type="decimal" operator="between" sqref="I18">
      <x:formula1>0</x:formula1>
      <x:formula2>1000000000000</x:formula2>
    </x:dataValidation>
    <x:dataValidation type="decimal" operator="between" sqref="J18">
      <x:formula1>0</x:formula1>
      <x:formula2>1000000000000</x:formula2>
    </x:dataValidation>
    <x:dataValidation type="decimal" operator="between" sqref="K18">
      <x:formula1>0</x:formula1>
      <x:formula2>1000000000000</x:formula2>
    </x:dataValidation>
    <x:dataValidation type="decimal" operator="between" sqref="L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1000000000000</x:formula2>
    </x:dataValidation>
    <x:dataValidation type="decimal" operator="between" sqref="F19">
      <x:formula1>0</x:formula1>
      <x:formula2>1000000000000</x:formula2>
    </x:dataValidation>
    <x:dataValidation type="decimal" operator="between" sqref="G19">
      <x:formula1>0</x:formula1>
      <x:formula2>1000000000000</x:formula2>
    </x:dataValidation>
    <x:dataValidation type="decimal" operator="between" sqref="H19">
      <x:formula1>0</x:formula1>
      <x:formula2>1</x:formula2>
    </x:dataValidation>
    <x:dataValidation type="decimal" operator="between" sqref="I19">
      <x:formula1>0</x:formula1>
      <x:formula2>1000000000000</x:formula2>
    </x:dataValidation>
    <x:dataValidation type="decimal" operator="between" sqref="J19">
      <x:formula1>0</x:formula1>
      <x:formula2>1000000000000</x:formula2>
    </x:dataValidation>
    <x:dataValidation type="decimal" operator="between" sqref="K19">
      <x:formula1>0</x:formula1>
      <x:formula2>1000000000000</x:formula2>
    </x:dataValidation>
    <x:dataValidation type="decimal" operator="between" sqref="L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1000000000000</x:formula2>
    </x:dataValidation>
    <x:dataValidation type="decimal" operator="between" sqref="F20">
      <x:formula1>0</x:formula1>
      <x:formula2>1000000000000</x:formula2>
    </x:dataValidation>
    <x:dataValidation type="decimal" operator="between" sqref="G20">
      <x:formula1>0</x:formula1>
      <x:formula2>1000000000000</x:formula2>
    </x:dataValidation>
    <x:dataValidation type="decimal" operator="between" sqref="H20">
      <x:formula1>0</x:formula1>
      <x:formula2>1</x:formula2>
    </x:dataValidation>
    <x:dataValidation type="decimal" operator="between" sqref="I20">
      <x:formula1>0</x:formula1>
      <x:formula2>1000000000000</x:formula2>
    </x:dataValidation>
    <x:dataValidation type="decimal" operator="between" sqref="J20">
      <x:formula1>0</x:formula1>
      <x:formula2>1000000000000</x:formula2>
    </x:dataValidation>
    <x:dataValidation type="decimal" operator="between" sqref="K20">
      <x:formula1>0</x:formula1>
      <x:formula2>1000000000000</x:formula2>
    </x:dataValidation>
    <x:dataValidation type="decimal" operator="between" sqref="L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1000000000000</x:formula2>
    </x:dataValidation>
    <x:dataValidation type="decimal" operator="between" sqref="F21">
      <x:formula1>0</x:formula1>
      <x:formula2>1000000000000</x:formula2>
    </x:dataValidation>
    <x:dataValidation type="decimal" operator="between" sqref="G21">
      <x:formula1>0</x:formula1>
      <x:formula2>1000000000000</x:formula2>
    </x:dataValidation>
    <x:dataValidation type="decimal" operator="between" sqref="H21">
      <x:formula1>0</x:formula1>
      <x:formula2>1</x:formula2>
    </x:dataValidation>
    <x:dataValidation type="decimal" operator="between" sqref="I21">
      <x:formula1>0</x:formula1>
      <x:formula2>1000000000000</x:formula2>
    </x:dataValidation>
    <x:dataValidation type="decimal" operator="between" sqref="J21">
      <x:formula1>0</x:formula1>
      <x:formula2>1000000000000</x:formula2>
    </x:dataValidation>
    <x:dataValidation type="decimal" operator="between" sqref="K21">
      <x:formula1>0</x:formula1>
      <x:formula2>1000000000000</x:formula2>
    </x:dataValidation>
    <x:dataValidation type="decimal" operator="between" sqref="L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54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Opening legally occupiable homes</x:v>
      </x:c>
      <x:c r="D10" s="2" t="str">
        <x:v>homes avg</x:v>
      </x:c>
      <x:c r="E10" s="49" t="n">
        <x:f>IF(COUNT(G10:R10)=12,AVERAGE(G10:R10),"n.a.")</x:f>
        <x:v>91.66666666666667</x:v>
      </x:c>
      <x:c r="F10" s="2"/>
      <x:c r="G10" s="48" t="n">
        <x:f>IF(AND(ISNUMBER('Assumptions'!$D$76),ISNUMBER('Assumptions'!$D$73)),IF('Assumptions'!$D$76&lt;='Assumptions'!$D$73,'Assumptions'!$D$76,"n.a."),"n.a.")</x:f>
        <x:v>60</x:v>
      </x:c>
      <x:c r="H10" s="48" t="n">
        <x:f>IF(AND(ISNUMBER(G12)),G12,"n.a.")</x:f>
        <x:v>70</x:v>
      </x:c>
      <x:c r="I10" s="48" t="n">
        <x:f>IF(AND(ISNUMBER(H12)),H12,"n.a.")</x:f>
        <x:v>80</x:v>
      </x:c>
      <x:c r="J10" s="48" t="n">
        <x:f>IF(AND(ISNUMBER(I12)),I12,"n.a.")</x:f>
        <x:v>90</x:v>
      </x:c>
      <x:c r="K10" s="48" t="n">
        <x:f>IF(AND(ISNUMBER(J12)),J12,"n.a.")</x:f>
        <x:v>100</x:v>
      </x:c>
      <x:c r="L10" s="48" t="n">
        <x:f>IF(AND(ISNUMBER(K12)),K12,"n.a.")</x:f>
        <x:v>100</x:v>
      </x:c>
      <x:c r="M10" s="48" t="n">
        <x:f>IF(AND(ISNUMBER(L12)),L12,"n.a.")</x:f>
        <x:v>100</x:v>
      </x:c>
      <x:c r="N10" s="48" t="n">
        <x:f>IF(AND(ISNUMBER(M12)),M12,"n.a.")</x:f>
        <x:v>100</x:v>
      </x:c>
      <x:c r="O10" s="48" t="n">
        <x:f>IF(AND(ISNUMBER(N12)),N12,"n.a.")</x:f>
        <x:v>100</x:v>
      </x:c>
      <x:c r="P10" s="48" t="n">
        <x:f>IF(AND(ISNUMBER(O12)),O12,"n.a.")</x:f>
        <x:v>100</x:v>
      </x:c>
      <x:c r="Q10" s="48" t="n">
        <x:f>IF(AND(ISNUMBER(P12)),P12,"n.a.")</x:f>
        <x:v>100</x:v>
      </x:c>
      <x:c r="R10" s="48" t="n">
        <x:f>IF(AND(ISNUMBER(Q12)),Q12,"n.a.")</x:f>
        <x:v>100</x:v>
      </x:c>
    </x:row>
    <x:row r="11" ht="21" customHeight="1">
      <x:c r="A11" s="2"/>
      <x:c r="B11" s="2"/>
      <x:c r="C11" s="2" t="str">
        <x:v>Accepted new delivered homes</x:v>
      </x:c>
      <x:c r="D11" s="2" t="str">
        <x:v>homes</x:v>
      </x:c>
      <x:c r="E11" s="49" t="n">
        <x:f>IF(COUNT(G11:R11)=12,SUM(G11:R11),"n.a.")</x:f>
        <x:v>40</x:v>
      </x:c>
      <x:c r="F11" s="2"/>
      <x:c r="G11" s="48" t="n">
        <x:f>IF(AND('Home Delivery and Leasing'!N10="OK"),IF(AND(ISNUMBER('Home Delivery and Leasing'!$D$10),ISNUMBER('Assumptions'!$D$73),ISNUMBER(G10)),MIN('Home Delivery and Leasing'!$D$10,MAX(0,'Assumptions'!$D$73-G10)),"n.a."),"n.a.")</x:f>
        <x:v>10</x:v>
      </x:c>
      <x:c r="H11" s="48" t="n">
        <x:f>IF(AND('Home Delivery and Leasing'!N11="OK"),IF(AND(ISNUMBER('Home Delivery and Leasing'!$D$11),ISNUMBER('Assumptions'!$D$73),ISNUMBER(H10)),MIN('Home Delivery and Leasing'!$D$11,MAX(0,'Assumptions'!$D$73-H10)),"n.a."),"n.a.")</x:f>
        <x:v>10</x:v>
      </x:c>
      <x:c r="I11" s="48" t="n">
        <x:f>IF(AND('Home Delivery and Leasing'!N12="OK"),IF(AND(ISNUMBER('Home Delivery and Leasing'!$D$12),ISNUMBER('Assumptions'!$D$73),ISNUMBER(I10)),MIN('Home Delivery and Leasing'!$D$12,MAX(0,'Assumptions'!$D$73-I10)),"n.a."),"n.a.")</x:f>
        <x:v>10</x:v>
      </x:c>
      <x:c r="J11" s="48" t="n">
        <x:f>IF(AND('Home Delivery and Leasing'!N13="OK"),IF(AND(ISNUMBER('Home Delivery and Leasing'!$D$13),ISNUMBER('Assumptions'!$D$73),ISNUMBER(J10)),MIN('Home Delivery and Leasing'!$D$13,MAX(0,'Assumptions'!$D$73-J10)),"n.a."),"n.a.")</x:f>
        <x:v>10</x:v>
      </x:c>
      <x:c r="K11" s="48" t="n">
        <x:f>IF(AND('Home Delivery and Leasing'!N14="OK"),IF(AND(ISNUMBER('Home Delivery and Leasing'!$D$14),ISNUMBER('Assumptions'!$D$73),ISNUMBER(K10)),MIN('Home Delivery and Leasing'!$D$14,MAX(0,'Assumptions'!$D$73-K10)),"n.a."),"n.a.")</x:f>
        <x:v>0</x:v>
      </x:c>
      <x:c r="L11" s="48" t="n">
        <x:f>IF(AND('Home Delivery and Leasing'!N15="OK"),IF(AND(ISNUMBER('Home Delivery and Leasing'!$D$15),ISNUMBER('Assumptions'!$D$73),ISNUMBER(L10)),MIN('Home Delivery and Leasing'!$D$15,MAX(0,'Assumptions'!$D$73-L10)),"n.a."),"n.a.")</x:f>
        <x:v>0</x:v>
      </x:c>
      <x:c r="M11" s="48" t="n">
        <x:f>IF(AND('Home Delivery and Leasing'!N16="OK"),IF(AND(ISNUMBER('Home Delivery and Leasing'!$D$16),ISNUMBER('Assumptions'!$D$73),ISNUMBER(M10)),MIN('Home Delivery and Leasing'!$D$16,MAX(0,'Assumptions'!$D$73-M10)),"n.a."),"n.a.")</x:f>
        <x:v>0</x:v>
      </x:c>
      <x:c r="N11" s="48" t="n">
        <x:f>IF(AND('Home Delivery and Leasing'!N17="OK"),IF(AND(ISNUMBER('Home Delivery and Leasing'!$D$17),ISNUMBER('Assumptions'!$D$73),ISNUMBER(N10)),MIN('Home Delivery and Leasing'!$D$17,MAX(0,'Assumptions'!$D$73-N10)),"n.a."),"n.a.")</x:f>
        <x:v>0</x:v>
      </x:c>
      <x:c r="O11" s="48" t="n">
        <x:f>IF(AND('Home Delivery and Leasing'!N18="OK"),IF(AND(ISNUMBER('Home Delivery and Leasing'!$D$18),ISNUMBER('Assumptions'!$D$73),ISNUMBER(O10)),MIN('Home Delivery and Leasing'!$D$18,MAX(0,'Assumptions'!$D$73-O10)),"n.a."),"n.a.")</x:f>
        <x:v>0</x:v>
      </x:c>
      <x:c r="P11" s="48" t="n">
        <x:f>IF(AND('Home Delivery and Leasing'!N19="OK"),IF(AND(ISNUMBER('Home Delivery and Leasing'!$D$19),ISNUMBER('Assumptions'!$D$73),ISNUMBER(P10)),MIN('Home Delivery and Leasing'!$D$19,MAX(0,'Assumptions'!$D$73-P10)),"n.a."),"n.a.")</x:f>
        <x:v>0</x:v>
      </x:c>
      <x:c r="Q11" s="48" t="n">
        <x:f>IF(AND('Home Delivery and Leasing'!N20="OK"),IF(AND(ISNUMBER('Home Delivery and Leasing'!$D$20),ISNUMBER('Assumptions'!$D$73),ISNUMBER(Q10)),MIN('Home Delivery and Leasing'!$D$20,MAX(0,'Assumptions'!$D$73-Q10)),"n.a."),"n.a.")</x:f>
        <x:v>0</x:v>
      </x:c>
      <x:c r="R11" s="48" t="n">
        <x:f>IF(AND('Home Delivery and Leasing'!N21="OK"),IF(AND(ISNUMBER('Home Delivery and Leasing'!$D$21),ISNUMBER('Assumptions'!$D$73),ISNUMBER(R10)),MIN('Home Delivery and Leasing'!$D$21,MAX(0,'Assumptions'!$D$73-R10)),"n.a."),"n.a.")</x:f>
        <x:v>0</x:v>
      </x:c>
    </x:row>
    <x:row r="12" ht="21" customHeight="1">
      <x:c r="A12" s="2"/>
      <x:c r="B12" s="2"/>
      <x:c r="C12" s="2" t="str">
        <x:v>Closing legally occupiable homes</x:v>
      </x:c>
      <x:c r="D12" s="2" t="str">
        <x:v>homes end</x:v>
      </x:c>
      <x:c r="E12" s="49" t="n">
        <x:f>IF(ISNUMBER(R12),R12,"n.a.")</x:f>
        <x:v>100</x:v>
      </x:c>
      <x:c r="F12" s="2"/>
      <x:c r="G12" s="49" t="n">
        <x:f>IF(AND(ISNUMBER(G10),ISNUMBER(G11)),G10+G11,"n.a.")</x:f>
        <x:v>70</x:v>
      </x:c>
      <x:c r="H12" s="49" t="n">
        <x:f>IF(AND(ISNUMBER(H10),ISNUMBER(H11)),H10+H11,"n.a.")</x:f>
        <x:v>80</x:v>
      </x:c>
      <x:c r="I12" s="49" t="n">
        <x:f>IF(AND(ISNUMBER(I10),ISNUMBER(I11)),I10+I11,"n.a.")</x:f>
        <x:v>90</x:v>
      </x:c>
      <x:c r="J12" s="49" t="n">
        <x:f>IF(AND(ISNUMBER(J10),ISNUMBER(J11)),J10+J11,"n.a.")</x:f>
        <x:v>100</x:v>
      </x:c>
      <x:c r="K12" s="49" t="n">
        <x:f>IF(AND(ISNUMBER(K10),ISNUMBER(K11)),K10+K11,"n.a.")</x:f>
        <x:v>100</x:v>
      </x:c>
      <x:c r="L12" s="49" t="n">
        <x:f>IF(AND(ISNUMBER(L10),ISNUMBER(L11)),L10+L11,"n.a.")</x:f>
        <x:v>100</x:v>
      </x:c>
      <x:c r="M12" s="49" t="n">
        <x:f>IF(AND(ISNUMBER(M10),ISNUMBER(M11)),M10+M11,"n.a.")</x:f>
        <x:v>100</x:v>
      </x:c>
      <x:c r="N12" s="49" t="n">
        <x:f>IF(AND(ISNUMBER(N10),ISNUMBER(N11)),N10+N11,"n.a.")</x:f>
        <x:v>100</x:v>
      </x:c>
      <x:c r="O12" s="49" t="n">
        <x:f>IF(AND(ISNUMBER(O10),ISNUMBER(O11)),O10+O11,"n.a.")</x:f>
        <x:v>100</x:v>
      </x:c>
      <x:c r="P12" s="49" t="n">
        <x:f>IF(AND(ISNUMBER(P10),ISNUMBER(P11)),P10+P11,"n.a.")</x:f>
        <x:v>100</x:v>
      </x:c>
      <x:c r="Q12" s="49" t="n">
        <x:f>IF(AND(ISNUMBER(Q10),ISNUMBER(Q11)),Q10+Q11,"n.a.")</x:f>
        <x:v>100</x:v>
      </x:c>
      <x:c r="R12" s="49" t="n">
        <x:f>IF(AND(ISNUMBER(R10),ISNUMBER(R11)),R10+R11,"n.a.")</x:f>
        <x:v>100</x:v>
      </x:c>
    </x:row>
    <x:row r="13" ht="21" customHeight="1">
      <x:c r="A13" s="2"/>
      <x:c r="B13" s="2"/>
      <x:c r="C13" s="2" t="str">
        <x:v>Opening leased homes</x:v>
      </x:c>
      <x:c r="D13" s="2" t="str">
        <x:v>homes avg</x:v>
      </x:c>
      <x:c r="E13" s="49" t="n">
        <x:f>IF(COUNT(G13:R13)=12,AVERAGE(G13:R13),"n.a.")</x:f>
        <x:v>84.08333333333333</x:v>
      </x:c>
      <x:c r="F13" s="2"/>
      <x:c r="G13" s="48" t="n">
        <x:f>IF(AND(ISNUMBER('Assumptions'!$D$79),ISNUMBER(G10)),MIN('Assumptions'!$D$79,G10),"n.a.")</x:f>
        <x:v>48</x:v>
      </x:c>
      <x:c r="H13" s="48" t="n">
        <x:f>IF(AND(ISNUMBER(G16)),G16,"n.a.")</x:f>
        <x:v>57</x:v>
      </x:c>
      <x:c r="I13" s="48" t="n">
        <x:f>IF(AND(ISNUMBER(H16)),H16,"n.a.")</x:f>
        <x:v>66</x:v>
      </x:c>
      <x:c r="J13" s="48" t="n">
        <x:f>IF(AND(ISNUMBER(I16)),I16,"n.a.")</x:f>
        <x:v>75</x:v>
      </x:c>
      <x:c r="K13" s="48" t="n">
        <x:f>IF(AND(ISNUMBER(J16)),J16,"n.a.")</x:f>
        <x:v>84</x:v>
      </x:c>
      <x:c r="L13" s="48" t="n">
        <x:f>IF(AND(ISNUMBER(K16)),K16,"n.a.")</x:f>
        <x:v>91</x:v>
      </x:c>
      <x:c r="M13" s="48" t="n">
        <x:f>IF(AND(ISNUMBER(L16)),L16,"n.a.")</x:f>
        <x:v>98</x:v>
      </x:c>
      <x:c r="N13" s="48" t="n">
        <x:f>IF(AND(ISNUMBER(M16)),M16,"n.a.")</x:f>
        <x:v>98</x:v>
      </x:c>
      <x:c r="O13" s="48" t="n">
        <x:f>IF(AND(ISNUMBER(N16)),N16,"n.a.")</x:f>
        <x:v>98</x:v>
      </x:c>
      <x:c r="P13" s="48" t="n">
        <x:f>IF(AND(ISNUMBER(O16)),O16,"n.a.")</x:f>
        <x:v>98</x:v>
      </x:c>
      <x:c r="Q13" s="48" t="n">
        <x:f>IF(AND(ISNUMBER(P16)),P16,"n.a.")</x:f>
        <x:v>98</x:v>
      </x:c>
      <x:c r="R13" s="48" t="n">
        <x:f>IF(AND(ISNUMBER(Q16)),Q16,"n.a.")</x:f>
        <x:v>98</x:v>
      </x:c>
    </x:row>
    <x:row r="14" ht="21" customHeight="1">
      <x:c r="A14" s="2"/>
      <x:c r="B14" s="2"/>
      <x:c r="C14" s="2" t="str">
        <x:v>Move-outs from existing leases</x:v>
      </x:c>
      <x:c r="D14" s="2" t="str">
        <x:v>homes</x:v>
      </x:c>
      <x:c r="E14" s="49" t="n">
        <x:f>IF(COUNT(G14:R14)=12,SUM(G14:R14),"n.a.")</x:f>
        <x:v>28</x:v>
      </x:c>
      <x:c r="F14" s="2"/>
      <x:c r="G14" s="48" t="n">
        <x:f>IF(AND('Home Delivery and Leasing'!N10="OK"),IF(AND(ISNUMBER('Home Delivery and Leasing'!$F$10),ISNUMBER(G13)),MIN('Home Delivery and Leasing'!$F$10,G13),"n.a."),"n.a.")</x:f>
        <x:v>1</x:v>
      </x:c>
      <x:c r="H14" s="48" t="n">
        <x:f>IF(AND('Home Delivery and Leasing'!N11="OK"),IF(AND(ISNUMBER('Home Delivery and Leasing'!$F$11),ISNUMBER(H13)),MIN('Home Delivery and Leasing'!$F$11,H13),"n.a."),"n.a.")</x:f>
        <x:v>1</x:v>
      </x:c>
      <x:c r="I14" s="48" t="n">
        <x:f>IF(AND('Home Delivery and Leasing'!N12="OK"),IF(AND(ISNUMBER('Home Delivery and Leasing'!$F$12),ISNUMBER(I13)),MIN('Home Delivery and Leasing'!$F$12,I13),"n.a."),"n.a.")</x:f>
        <x:v>1</x:v>
      </x:c>
      <x:c r="J14" s="48" t="n">
        <x:f>IF(AND('Home Delivery and Leasing'!N13="OK"),IF(AND(ISNUMBER('Home Delivery and Leasing'!$F$13),ISNUMBER(J13)),MIN('Home Delivery and Leasing'!$F$13,J13),"n.a."),"n.a.")</x:f>
        <x:v>1</x:v>
      </x:c>
      <x:c r="K14" s="48" t="n">
        <x:f>IF(AND('Home Delivery and Leasing'!N14="OK"),IF(AND(ISNUMBER('Home Delivery and Leasing'!$F$14),ISNUMBER(K13)),MIN('Home Delivery and Leasing'!$F$14,K13),"n.a."),"n.a.")</x:f>
        <x:v>3</x:v>
      </x:c>
      <x:c r="L14" s="48" t="n">
        <x:f>IF(AND('Home Delivery and Leasing'!N15="OK"),IF(AND(ISNUMBER('Home Delivery and Leasing'!$F$15),ISNUMBER(L13)),MIN('Home Delivery and Leasing'!$F$15,L13),"n.a."),"n.a.")</x:f>
        <x:v>3</x:v>
      </x:c>
      <x:c r="M14" s="48" t="n">
        <x:f>IF(AND('Home Delivery and Leasing'!N16="OK"),IF(AND(ISNUMBER('Home Delivery and Leasing'!$F$16),ISNUMBER(M13)),MIN('Home Delivery and Leasing'!$F$16,M13),"n.a."),"n.a.")</x:f>
        <x:v>3</x:v>
      </x:c>
      <x:c r="N14" s="48" t="n">
        <x:f>IF(AND('Home Delivery and Leasing'!N17="OK"),IF(AND(ISNUMBER('Home Delivery and Leasing'!$F$17),ISNUMBER(N13)),MIN('Home Delivery and Leasing'!$F$17,N13),"n.a."),"n.a.")</x:f>
        <x:v>3</x:v>
      </x:c>
      <x:c r="O14" s="48" t="n">
        <x:f>IF(AND('Home Delivery and Leasing'!N18="OK"),IF(AND(ISNUMBER('Home Delivery and Leasing'!$F$18),ISNUMBER(O13)),MIN('Home Delivery and Leasing'!$F$18,O13),"n.a."),"n.a.")</x:f>
        <x:v>3</x:v>
      </x:c>
      <x:c r="P14" s="48" t="n">
        <x:f>IF(AND('Home Delivery and Leasing'!N19="OK"),IF(AND(ISNUMBER('Home Delivery and Leasing'!$F$19),ISNUMBER(P13)),MIN('Home Delivery and Leasing'!$F$19,P13),"n.a."),"n.a.")</x:f>
        <x:v>3</x:v>
      </x:c>
      <x:c r="Q14" s="48" t="n">
        <x:f>IF(AND('Home Delivery and Leasing'!N20="OK"),IF(AND(ISNUMBER('Home Delivery and Leasing'!$F$20),ISNUMBER(Q13)),MIN('Home Delivery and Leasing'!$F$20,Q13),"n.a."),"n.a.")</x:f>
        <x:v>3</x:v>
      </x:c>
      <x:c r="R14" s="48" t="n">
        <x:f>IF(AND('Home Delivery and Leasing'!N21="OK"),IF(AND(ISNUMBER('Home Delivery and Leasing'!$F$21),ISNUMBER(R13)),MIN('Home Delivery and Leasing'!$F$21,R13),"n.a."),"n.a.")</x:f>
        <x:v>3</x:v>
      </x:c>
    </x:row>
    <x:row r="15" ht="21" customHeight="1">
      <x:c r="A15" s="2"/>
      <x:c r="B15" s="2"/>
      <x:c r="C15" s="2" t="str">
        <x:v>Move-ins limited to available homes</x:v>
      </x:c>
      <x:c r="D15" s="2" t="str">
        <x:v>homes</x:v>
      </x:c>
      <x:c r="E15" s="49" t="n">
        <x:f>IF(COUNT(G15:R15)=12,SUM(G15:R15),"n.a.")</x:f>
        <x:v>78</x:v>
      </x:c>
      <x:c r="F15" s="2"/>
      <x:c r="G15" s="48" t="n">
        <x:f>IF(AND('Home Delivery and Leasing'!N10="OK"),IF(AND(ISNUMBER('Home Delivery and Leasing'!$E$10),ISNUMBER('Assumptions'!$D$61),ISNUMBER(G12),ISNUMBER(G13),ISNUMBER(G14)),MIN('Home Delivery and Leasing'!$E$10*'Assumptions'!$D$61,MAX(0,G12-G13+G14)),"n.a."),"n.a.")</x:f>
        <x:v>10</x:v>
      </x:c>
      <x:c r="H15" s="48" t="n">
        <x:f>IF(AND('Home Delivery and Leasing'!N11="OK"),IF(AND(ISNUMBER('Home Delivery and Leasing'!$E$11),ISNUMBER('Assumptions'!$D$61),ISNUMBER(H12),ISNUMBER(H13),ISNUMBER(H14)),MIN('Home Delivery and Leasing'!$E$11*'Assumptions'!$D$61,MAX(0,H12-H13+H14)),"n.a."),"n.a.")</x:f>
        <x:v>10</x:v>
      </x:c>
      <x:c r="I15" s="48" t="n">
        <x:f>IF(AND('Home Delivery and Leasing'!N12="OK"),IF(AND(ISNUMBER('Home Delivery and Leasing'!$E$12),ISNUMBER('Assumptions'!$D$61),ISNUMBER(I12),ISNUMBER(I13),ISNUMBER(I14)),MIN('Home Delivery and Leasing'!$E$12*'Assumptions'!$D$61,MAX(0,I12-I13+I14)),"n.a."),"n.a.")</x:f>
        <x:v>10</x:v>
      </x:c>
      <x:c r="J15" s="48" t="n">
        <x:f>IF(AND('Home Delivery and Leasing'!N13="OK"),IF(AND(ISNUMBER('Home Delivery and Leasing'!$E$13),ISNUMBER('Assumptions'!$D$61),ISNUMBER(J12),ISNUMBER(J13),ISNUMBER(J14)),MIN('Home Delivery and Leasing'!$E$13*'Assumptions'!$D$61,MAX(0,J12-J13+J14)),"n.a."),"n.a.")</x:f>
        <x:v>10</x:v>
      </x:c>
      <x:c r="K15" s="48" t="n">
        <x:f>IF(AND('Home Delivery and Leasing'!N14="OK"),IF(AND(ISNUMBER('Home Delivery and Leasing'!$E$14),ISNUMBER('Assumptions'!$D$61),ISNUMBER(K12),ISNUMBER(K13),ISNUMBER(K14)),MIN('Home Delivery and Leasing'!$E$14*'Assumptions'!$D$61,MAX(0,K12-K13+K14)),"n.a."),"n.a.")</x:f>
        <x:v>10</x:v>
      </x:c>
      <x:c r="L15" s="48" t="n">
        <x:f>IF(AND('Home Delivery and Leasing'!N15="OK"),IF(AND(ISNUMBER('Home Delivery and Leasing'!$E$15),ISNUMBER('Assumptions'!$D$61),ISNUMBER(L12),ISNUMBER(L13),ISNUMBER(L14)),MIN('Home Delivery and Leasing'!$E$15*'Assumptions'!$D$61,MAX(0,L12-L13+L14)),"n.a."),"n.a.")</x:f>
        <x:v>10</x:v>
      </x:c>
      <x:c r="M15" s="48" t="n">
        <x:f>IF(AND('Home Delivery and Leasing'!N16="OK"),IF(AND(ISNUMBER('Home Delivery and Leasing'!$E$16),ISNUMBER('Assumptions'!$D$61),ISNUMBER(M12),ISNUMBER(M13),ISNUMBER(M14)),MIN('Home Delivery and Leasing'!$E$16*'Assumptions'!$D$61,MAX(0,M12-M13+M14)),"n.a."),"n.a.")</x:f>
        <x:v>3</x:v>
      </x:c>
      <x:c r="N15" s="48" t="n">
        <x:f>IF(AND('Home Delivery and Leasing'!N17="OK"),IF(AND(ISNUMBER('Home Delivery and Leasing'!$E$17),ISNUMBER('Assumptions'!$D$61),ISNUMBER(N12),ISNUMBER(N13),ISNUMBER(N14)),MIN('Home Delivery and Leasing'!$E$17*'Assumptions'!$D$61,MAX(0,N12-N13+N14)),"n.a."),"n.a.")</x:f>
        <x:v>3</x:v>
      </x:c>
      <x:c r="O15" s="48" t="n">
        <x:f>IF(AND('Home Delivery and Leasing'!N18="OK"),IF(AND(ISNUMBER('Home Delivery and Leasing'!$E$18),ISNUMBER('Assumptions'!$D$61),ISNUMBER(O12),ISNUMBER(O13),ISNUMBER(O14)),MIN('Home Delivery and Leasing'!$E$18*'Assumptions'!$D$61,MAX(0,O12-O13+O14)),"n.a."),"n.a.")</x:f>
        <x:v>3</x:v>
      </x:c>
      <x:c r="P15" s="48" t="n">
        <x:f>IF(AND('Home Delivery and Leasing'!N19="OK"),IF(AND(ISNUMBER('Home Delivery and Leasing'!$E$19),ISNUMBER('Assumptions'!$D$61),ISNUMBER(P12),ISNUMBER(P13),ISNUMBER(P14)),MIN('Home Delivery and Leasing'!$E$19*'Assumptions'!$D$61,MAX(0,P12-P13+P14)),"n.a."),"n.a.")</x:f>
        <x:v>3</x:v>
      </x:c>
      <x:c r="Q15" s="48" t="n">
        <x:f>IF(AND('Home Delivery and Leasing'!N20="OK"),IF(AND(ISNUMBER('Home Delivery and Leasing'!$E$20),ISNUMBER('Assumptions'!$D$61),ISNUMBER(Q12),ISNUMBER(Q13),ISNUMBER(Q14)),MIN('Home Delivery and Leasing'!$E$20*'Assumptions'!$D$61,MAX(0,Q12-Q13+Q14)),"n.a."),"n.a.")</x:f>
        <x:v>3</x:v>
      </x:c>
      <x:c r="R15" s="48" t="n">
        <x:f>IF(AND('Home Delivery and Leasing'!N21="OK"),IF(AND(ISNUMBER('Home Delivery and Leasing'!$E$21),ISNUMBER('Assumptions'!$D$61),ISNUMBER(R12),ISNUMBER(R13),ISNUMBER(R14)),MIN('Home Delivery and Leasing'!$E$21*'Assumptions'!$D$61,MAX(0,R12-R13+R14)),"n.a."),"n.a.")</x:f>
        <x:v>3</x:v>
      </x:c>
    </x:row>
    <x:row r="16" ht="21" customHeight="1">
      <x:c r="A16" s="2"/>
      <x:c r="B16" s="2"/>
      <x:c r="C16" s="2" t="str">
        <x:v>Closing leased homes</x:v>
      </x:c>
      <x:c r="D16" s="2" t="str">
        <x:v>homes end</x:v>
      </x:c>
      <x:c r="E16" s="49" t="n">
        <x:f>IF(ISNUMBER(R16),R16,"n.a.")</x:f>
        <x:v>98</x:v>
      </x:c>
      <x:c r="F16" s="2"/>
      <x:c r="G16" s="49" t="n">
        <x:f>IF(AND(ISNUMBER(G13),ISNUMBER(G14),ISNUMBER(G15)),G13-G14+G15,"n.a.")</x:f>
        <x:v>57</x:v>
      </x:c>
      <x:c r="H16" s="49" t="n">
        <x:f>IF(AND(ISNUMBER(H13),ISNUMBER(H14),ISNUMBER(H15)),H13-H14+H15,"n.a.")</x:f>
        <x:v>66</x:v>
      </x:c>
      <x:c r="I16" s="49" t="n">
        <x:f>IF(AND(ISNUMBER(I13),ISNUMBER(I14),ISNUMBER(I15)),I13-I14+I15,"n.a.")</x:f>
        <x:v>75</x:v>
      </x:c>
      <x:c r="J16" s="49" t="n">
        <x:f>IF(AND(ISNUMBER(J13),ISNUMBER(J14),ISNUMBER(J15)),J13-J14+J15,"n.a.")</x:f>
        <x:v>84</x:v>
      </x:c>
      <x:c r="K16" s="49" t="n">
        <x:f>IF(AND(ISNUMBER(K13),ISNUMBER(K14),ISNUMBER(K15)),K13-K14+K15,"n.a.")</x:f>
        <x:v>91</x:v>
      </x:c>
      <x:c r="L16" s="49" t="n">
        <x:f>IF(AND(ISNUMBER(L13),ISNUMBER(L14),ISNUMBER(L15)),L13-L14+L15,"n.a.")</x:f>
        <x:v>98</x:v>
      </x:c>
      <x:c r="M16" s="49" t="n">
        <x:f>IF(AND(ISNUMBER(M13),ISNUMBER(M14),ISNUMBER(M15)),M13-M14+M15,"n.a.")</x:f>
        <x:v>98</x:v>
      </x:c>
      <x:c r="N16" s="49" t="n">
        <x:f>IF(AND(ISNUMBER(N13),ISNUMBER(N14),ISNUMBER(N15)),N13-N14+N15,"n.a.")</x:f>
        <x:v>98</x:v>
      </x:c>
      <x:c r="O16" s="49" t="n">
        <x:f>IF(AND(ISNUMBER(O13),ISNUMBER(O14),ISNUMBER(O15)),O13-O14+O15,"n.a.")</x:f>
        <x:v>98</x:v>
      </x:c>
      <x:c r="P16" s="49" t="n">
        <x:f>IF(AND(ISNUMBER(P13),ISNUMBER(P14),ISNUMBER(P15)),P13-P14+P15,"n.a.")</x:f>
        <x:v>98</x:v>
      </x:c>
      <x:c r="Q16" s="49" t="n">
        <x:f>IF(AND(ISNUMBER(Q13),ISNUMBER(Q14),ISNUMBER(Q15)),Q13-Q14+Q15,"n.a.")</x:f>
        <x:v>98</x:v>
      </x:c>
      <x:c r="R16" s="49" t="n">
        <x:f>IF(AND(ISNUMBER(R13),ISNUMBER(R14),ISNUMBER(R15)),R13-R14+R15,"n.a.")</x:f>
        <x:v>98</x:v>
      </x:c>
    </x:row>
    <x:row r="17" ht="21" customHeight="1">
      <x:c r="A17" s="2"/>
      <x:c r="B17" s="2"/>
      <x:c r="C17" s="2" t="str">
        <x:v>Average leased homes billed</x:v>
      </x:c>
      <x:c r="D17" s="2" t="str">
        <x:v>homes avg</x:v>
      </x:c>
      <x:c r="E17" s="49" t="n">
        <x:f>IF(COUNT(G17:R17)=12,AVERAGE(G17:R17),"n.a.")</x:f>
        <x:v>86.16666666666667</x:v>
      </x:c>
      <x:c r="F17" s="2"/>
      <x:c r="G17" s="49" t="n">
        <x:f>IF(AND(ISNUMBER(G13),ISNUMBER(G16)),(G13+G16)/2,"n.a.")</x:f>
        <x:v>52.5</x:v>
      </x:c>
      <x:c r="H17" s="49" t="n">
        <x:f>IF(AND(ISNUMBER(H13),ISNUMBER(H16)),(H13+H16)/2,"n.a.")</x:f>
        <x:v>61.5</x:v>
      </x:c>
      <x:c r="I17" s="49" t="n">
        <x:f>IF(AND(ISNUMBER(I13),ISNUMBER(I16)),(I13+I16)/2,"n.a.")</x:f>
        <x:v>70.5</x:v>
      </x:c>
      <x:c r="J17" s="49" t="n">
        <x:f>IF(AND(ISNUMBER(J13),ISNUMBER(J16)),(J13+J16)/2,"n.a.")</x:f>
        <x:v>79.5</x:v>
      </x:c>
      <x:c r="K17" s="49" t="n">
        <x:f>IF(AND(ISNUMBER(K13),ISNUMBER(K16)),(K13+K16)/2,"n.a.")</x:f>
        <x:v>87.5</x:v>
      </x:c>
      <x:c r="L17" s="49" t="n">
        <x:f>IF(AND(ISNUMBER(L13),ISNUMBER(L16)),(L13+L16)/2,"n.a.")</x:f>
        <x:v>94.5</x:v>
      </x:c>
      <x:c r="M17" s="49" t="n">
        <x:f>IF(AND(ISNUMBER(M13),ISNUMBER(M16)),(M13+M16)/2,"n.a.")</x:f>
        <x:v>98</x:v>
      </x:c>
      <x:c r="N17" s="49" t="n">
        <x:f>IF(AND(ISNUMBER(N13),ISNUMBER(N16)),(N13+N16)/2,"n.a.")</x:f>
        <x:v>98</x:v>
      </x:c>
      <x:c r="O17" s="49" t="n">
        <x:f>IF(AND(ISNUMBER(O13),ISNUMBER(O16)),(O13+O16)/2,"n.a.")</x:f>
        <x:v>98</x:v>
      </x:c>
      <x:c r="P17" s="49" t="n">
        <x:f>IF(AND(ISNUMBER(P13),ISNUMBER(P16)),(P13+P16)/2,"n.a.")</x:f>
        <x:v>98</x:v>
      </x:c>
      <x:c r="Q17" s="49" t="n">
        <x:f>IF(AND(ISNUMBER(Q13),ISNUMBER(Q16)),(Q13+Q16)/2,"n.a.")</x:f>
        <x:v>98</x:v>
      </x:c>
      <x:c r="R17" s="49" t="n">
        <x:f>IF(AND(ISNUMBER(R13),ISNUMBER(R16)),(R13+R16)/2,"n.a.")</x:f>
        <x:v>98</x:v>
      </x:c>
    </x:row>
    <x:row r="18" ht="21" customHeight="1">
      <x:c r="A18" s="2"/>
      <x:c r="B18" s="2"/>
      <x:c r="C18" s="2" t="str">
        <x:v>Cash concessions on accepted move-ins</x:v>
      </x:c>
      <x:c r="D18" s="2" t="str">
        <x:v>USD</x:v>
      </x:c>
      <x:c r="E18" s="52" t="n">
        <x:f>IF(COUNT(G18:R18)=12,SUM(G18:R18),"n.a.")</x:f>
        <x:v>27300</x:v>
      </x:c>
      <x:c r="F18" s="2"/>
      <x:c r="G18" s="51" t="n">
        <x:f>IF(AND('Home Delivery and Leasing'!N10="OK"),IF(AND(ISNUMBER(G15),ISNUMBER('Home Delivery and Leasing'!$I$10)),G15*'Home Delivery and Leasing'!$I$10,"n.a."),"n.a.")</x:f>
        <x:v>3500</x:v>
      </x:c>
      <x:c r="H18" s="51" t="n">
        <x:f>IF(AND('Home Delivery and Leasing'!N11="OK"),IF(AND(ISNUMBER(H15),ISNUMBER('Home Delivery and Leasing'!$I$11)),H15*'Home Delivery and Leasing'!$I$11,"n.a."),"n.a.")</x:f>
        <x:v>3500</x:v>
      </x:c>
      <x:c r="I18" s="51" t="n">
        <x:f>IF(AND('Home Delivery and Leasing'!N12="OK"),IF(AND(ISNUMBER(I15),ISNUMBER('Home Delivery and Leasing'!$I$12)),I15*'Home Delivery and Leasing'!$I$12,"n.a."),"n.a.")</x:f>
        <x:v>3500</x:v>
      </x:c>
      <x:c r="J18" s="51" t="n">
        <x:f>IF(AND('Home Delivery and Leasing'!N13="OK"),IF(AND(ISNUMBER(J15),ISNUMBER('Home Delivery and Leasing'!$I$13)),J15*'Home Delivery and Leasing'!$I$13,"n.a."),"n.a.")</x:f>
        <x:v>3500</x:v>
      </x:c>
      <x:c r="K18" s="51" t="n">
        <x:f>IF(AND('Home Delivery and Leasing'!N14="OK"),IF(AND(ISNUMBER(K15),ISNUMBER('Home Delivery and Leasing'!$I$14)),K15*'Home Delivery and Leasing'!$I$14,"n.a."),"n.a.")</x:f>
        <x:v>3500</x:v>
      </x:c>
      <x:c r="L18" s="51" t="n">
        <x:f>IF(AND('Home Delivery and Leasing'!N15="OK"),IF(AND(ISNUMBER(L15),ISNUMBER('Home Delivery and Leasing'!$I$15)),L15*'Home Delivery and Leasing'!$I$15,"n.a."),"n.a.")</x:f>
        <x:v>3500</x:v>
      </x:c>
      <x:c r="M18" s="51" t="n">
        <x:f>IF(AND('Home Delivery and Leasing'!N16="OK"),IF(AND(ISNUMBER(M15),ISNUMBER('Home Delivery and Leasing'!$I$16)),M15*'Home Delivery and Leasing'!$I$16,"n.a."),"n.a.")</x:f>
        <x:v>1050</x:v>
      </x:c>
      <x:c r="N18" s="51" t="n">
        <x:f>IF(AND('Home Delivery and Leasing'!N17="OK"),IF(AND(ISNUMBER(N15),ISNUMBER('Home Delivery and Leasing'!$I$17)),N15*'Home Delivery and Leasing'!$I$17,"n.a."),"n.a.")</x:f>
        <x:v>1050</x:v>
      </x:c>
      <x:c r="O18" s="51" t="n">
        <x:f>IF(AND('Home Delivery and Leasing'!N18="OK"),IF(AND(ISNUMBER(O15),ISNUMBER('Home Delivery and Leasing'!$I$18)),O15*'Home Delivery and Leasing'!$I$18,"n.a."),"n.a.")</x:f>
        <x:v>1050</x:v>
      </x:c>
      <x:c r="P18" s="51" t="n">
        <x:f>IF(AND('Home Delivery and Leasing'!N19="OK"),IF(AND(ISNUMBER(P15),ISNUMBER('Home Delivery and Leasing'!$I$19)),P15*'Home Delivery and Leasing'!$I$19,"n.a."),"n.a.")</x:f>
        <x:v>1050</x:v>
      </x:c>
      <x:c r="Q18" s="51" t="n">
        <x:f>IF(AND('Home Delivery and Leasing'!N20="OK"),IF(AND(ISNUMBER(Q15),ISNUMBER('Home Delivery and Leasing'!$I$20)),Q15*'Home Delivery and Leasing'!$I$20,"n.a."),"n.a.")</x:f>
        <x:v>1050</x:v>
      </x:c>
      <x:c r="R18" s="51" t="n">
        <x:f>IF(AND('Home Delivery and Leasing'!N21="OK"),IF(AND(ISNUMBER(R15),ISNUMBER('Home Delivery and Leasing'!$I$21)),R15*'Home Delivery and Leasing'!$I$21,"n.a."),"n.a.")</x:f>
        <x:v>1050</x:v>
      </x:c>
    </x:row>
    <x:row r="19" ht="21" customHeight="1">
      <x:c r="A19" s="2"/>
      <x:c r="B19" s="2"/>
      <x:c r="C19" s="58" t="str">
        <x:v>Collected home rent less concessions</x:v>
      </x:c>
      <x:c r="D19" s="58" t="str">
        <x:v>USD</x:v>
      </x:c>
      <x:c r="E19" s="59" t="n">
        <x:f>IF(COUNT(G19:R19)=12,SUM(G19:R19),"n.a.")</x:f>
        <x:v>2252670</x:v>
      </x:c>
      <x:c r="F19" s="58"/>
      <x:c r="G19" s="60" t="n">
        <x:f>IF(AND('Home Delivery and Leasing'!N10="OK"),IF(AND(ISNUMBER(G17),ISNUMBER('Home Delivery and Leasing'!$G$10),ISNUMBER('Home Delivery and Leasing'!$H$10),ISNUMBER('Assumptions'!$D$64),ISNUMBER(G18)),G17*'Home Delivery and Leasing'!$G$10*'Home Delivery and Leasing'!$H$10*'Assumptions'!$D$64-G18,"n.a."),"n.a.")</x:f>
        <x:v>112262.5</x:v>
      </x:c>
      <x:c r="H19" s="60" t="n">
        <x:f>IF(AND('Home Delivery and Leasing'!N11="OK"),IF(AND(ISNUMBER(H17),ISNUMBER('Home Delivery and Leasing'!$G$11),ISNUMBER('Home Delivery and Leasing'!$H$11),ISNUMBER('Assumptions'!$D$64),ISNUMBER(H18)),H17*'Home Delivery and Leasing'!$G$11*'Home Delivery and Leasing'!$H$11*'Assumptions'!$D$64-H18,"n.a."),"n.a.")</x:f>
        <x:v>132107.5</x:v>
      </x:c>
      <x:c r="I19" s="60" t="n">
        <x:f>IF(AND('Home Delivery and Leasing'!N12="OK"),IF(AND(ISNUMBER(I17),ISNUMBER('Home Delivery and Leasing'!$G$12),ISNUMBER('Home Delivery and Leasing'!$H$12),ISNUMBER('Assumptions'!$D$64),ISNUMBER(I18)),I17*'Home Delivery and Leasing'!$G$12*'Home Delivery and Leasing'!$H$12*'Assumptions'!$D$64-I18,"n.a."),"n.a.")</x:f>
        <x:v>151952.5</x:v>
      </x:c>
      <x:c r="J19" s="60" t="n">
        <x:f>IF(AND('Home Delivery and Leasing'!N13="OK"),IF(AND(ISNUMBER(J17),ISNUMBER('Home Delivery and Leasing'!$G$13),ISNUMBER('Home Delivery and Leasing'!$H$13),ISNUMBER('Assumptions'!$D$64),ISNUMBER(J18)),J17*'Home Delivery and Leasing'!$G$13*'Home Delivery and Leasing'!$H$13*'Assumptions'!$D$64-J18,"n.a."),"n.a.")</x:f>
        <x:v>171797.5</x:v>
      </x:c>
      <x:c r="K19" s="60" t="n">
        <x:f>IF(AND('Home Delivery and Leasing'!N14="OK"),IF(AND(ISNUMBER(K17),ISNUMBER('Home Delivery and Leasing'!$G$14),ISNUMBER('Home Delivery and Leasing'!$H$14),ISNUMBER('Assumptions'!$D$64),ISNUMBER(K18)),K17*'Home Delivery and Leasing'!$G$14*'Home Delivery and Leasing'!$H$14*'Assumptions'!$D$64-K18,"n.a."),"n.a.")</x:f>
        <x:v>189437.5</x:v>
      </x:c>
      <x:c r="L19" s="60" t="n">
        <x:f>IF(AND('Home Delivery and Leasing'!N15="OK"),IF(AND(ISNUMBER(L17),ISNUMBER('Home Delivery and Leasing'!$G$15),ISNUMBER('Home Delivery and Leasing'!$H$15),ISNUMBER('Assumptions'!$D$64),ISNUMBER(L18)),L17*'Home Delivery and Leasing'!$G$15*'Home Delivery and Leasing'!$H$15*'Assumptions'!$D$64-L18,"n.a."),"n.a.")</x:f>
        <x:v>204872.5</x:v>
      </x:c>
      <x:c r="M19" s="60" t="n">
        <x:f>IF(AND('Home Delivery and Leasing'!N16="OK"),IF(AND(ISNUMBER(M17),ISNUMBER('Home Delivery and Leasing'!$G$16),ISNUMBER('Home Delivery and Leasing'!$H$16),ISNUMBER('Assumptions'!$D$64),ISNUMBER(M18)),M17*'Home Delivery and Leasing'!$G$16*'Home Delivery and Leasing'!$H$16*'Assumptions'!$D$64-M18,"n.a."),"n.a.")</x:f>
        <x:v>215040</x:v>
      </x:c>
      <x:c r="N19" s="60" t="n">
        <x:f>IF(AND('Home Delivery and Leasing'!N17="OK"),IF(AND(ISNUMBER(N17),ISNUMBER('Home Delivery and Leasing'!$G$17),ISNUMBER('Home Delivery and Leasing'!$H$17),ISNUMBER('Assumptions'!$D$64),ISNUMBER(N18)),N17*'Home Delivery and Leasing'!$G$17*'Home Delivery and Leasing'!$H$17*'Assumptions'!$D$64-N18,"n.a."),"n.a.")</x:f>
        <x:v>215040</x:v>
      </x:c>
      <x:c r="O19" s="60" t="n">
        <x:f>IF(AND('Home Delivery and Leasing'!N18="OK"),IF(AND(ISNUMBER(O17),ISNUMBER('Home Delivery and Leasing'!$G$18),ISNUMBER('Home Delivery and Leasing'!$H$18),ISNUMBER('Assumptions'!$D$64),ISNUMBER(O18)),O17*'Home Delivery and Leasing'!$G$18*'Home Delivery and Leasing'!$H$18*'Assumptions'!$D$64-O18,"n.a."),"n.a.")</x:f>
        <x:v>215040</x:v>
      </x:c>
      <x:c r="P19" s="60" t="n">
        <x:f>IF(AND('Home Delivery and Leasing'!N19="OK"),IF(AND(ISNUMBER(P17),ISNUMBER('Home Delivery and Leasing'!$G$19),ISNUMBER('Home Delivery and Leasing'!$H$19),ISNUMBER('Assumptions'!$D$64),ISNUMBER(P18)),P17*'Home Delivery and Leasing'!$G$19*'Home Delivery and Leasing'!$H$19*'Assumptions'!$D$64-P18,"n.a."),"n.a.")</x:f>
        <x:v>215040</x:v>
      </x:c>
      <x:c r="Q19" s="60" t="n">
        <x:f>IF(AND('Home Delivery and Leasing'!N20="OK"),IF(AND(ISNUMBER(Q17),ISNUMBER('Home Delivery and Leasing'!$G$20),ISNUMBER('Home Delivery and Leasing'!$H$20),ISNUMBER('Assumptions'!$D$64),ISNUMBER(Q18)),Q17*'Home Delivery and Leasing'!$G$20*'Home Delivery and Leasing'!$H$20*'Assumptions'!$D$64-Q18,"n.a."),"n.a.")</x:f>
        <x:v>215040</x:v>
      </x:c>
      <x:c r="R19" s="60" t="n">
        <x:f>IF(AND('Home Delivery and Leasing'!N21="OK"),IF(AND(ISNUMBER(R17),ISNUMBER('Home Delivery and Leasing'!$G$21),ISNUMBER('Home Delivery and Leasing'!$H$21),ISNUMBER('Assumptions'!$D$64),ISNUMBER(R18)),R17*'Home Delivery and Leasing'!$G$21*'Home Delivery and Leasing'!$H$21*'Assumptions'!$D$64-R18,"n.a."),"n.a.")</x:f>
        <x:v>215040</x:v>
      </x:c>
    </x:row>
    <x:row r="20" ht="21" customHeight="1">
      <x:c r="A20" s="2"/>
      <x:c r="B20" s="2"/>
      <x:c r="C20" s="2" t="str">
        <x:v>Delivered-home and community costs</x:v>
      </x:c>
      <x:c r="D20" s="2" t="str">
        <x:v>USD</x:v>
      </x:c>
      <x:c r="E20" s="52" t="n">
        <x:f>IF(COUNT(G20:R20)=12,SUM(G20:R20),"n.a.")</x:f>
        <x:v>248000</x:v>
      </x:c>
      <x:c r="F20" s="2"/>
      <x:c r="G20" s="51" t="n">
        <x:f>IF(AND('Home Delivery and Leasing'!N10="OK"),IF(AND(ISNUMBER(G10),ISNUMBER(G12),ISNUMBER('Home Delivery and Leasing'!$J$10),ISNUMBER('Home Delivery and Leasing'!$L$10),ISNUMBER('Assumptions'!$D$67)),((G10+G12)/2*'Home Delivery and Leasing'!$J$10+'Home Delivery and Leasing'!$L$10)*'Assumptions'!$D$67,"n.a."),"n.a.")</x:f>
        <x:v>17125</x:v>
      </x:c>
      <x:c r="H20" s="51" t="n">
        <x:f>IF(AND('Home Delivery and Leasing'!N11="OK"),IF(AND(ISNUMBER(H10),ISNUMBER(H12),ISNUMBER('Home Delivery and Leasing'!$J$11),ISNUMBER('Home Delivery and Leasing'!$L$11),ISNUMBER('Assumptions'!$D$67)),((H10+H12)/2*'Home Delivery and Leasing'!$J$11+'Home Delivery and Leasing'!$L$11)*'Assumptions'!$D$67,"n.a."),"n.a.")</x:f>
        <x:v>18375</x:v>
      </x:c>
      <x:c r="I20" s="51" t="n">
        <x:f>IF(AND('Home Delivery and Leasing'!N12="OK"),IF(AND(ISNUMBER(I10),ISNUMBER(I12),ISNUMBER('Home Delivery and Leasing'!$J$12),ISNUMBER('Home Delivery and Leasing'!$L$12),ISNUMBER('Assumptions'!$D$67)),((I10+I12)/2*'Home Delivery and Leasing'!$J$12+'Home Delivery and Leasing'!$L$12)*'Assumptions'!$D$67,"n.a."),"n.a.")</x:f>
        <x:v>19625</x:v>
      </x:c>
      <x:c r="J20" s="51" t="n">
        <x:f>IF(AND('Home Delivery and Leasing'!N13="OK"),IF(AND(ISNUMBER(J10),ISNUMBER(J12),ISNUMBER('Home Delivery and Leasing'!$J$13),ISNUMBER('Home Delivery and Leasing'!$L$13),ISNUMBER('Assumptions'!$D$67)),((J10+J12)/2*'Home Delivery and Leasing'!$J$13+'Home Delivery and Leasing'!$L$13)*'Assumptions'!$D$67,"n.a."),"n.a.")</x:f>
        <x:v>20875</x:v>
      </x:c>
      <x:c r="K20" s="51" t="n">
        <x:f>IF(AND('Home Delivery and Leasing'!N14="OK"),IF(AND(ISNUMBER(K10),ISNUMBER(K12),ISNUMBER('Home Delivery and Leasing'!$J$14),ISNUMBER('Home Delivery and Leasing'!$L$14),ISNUMBER('Assumptions'!$D$67)),((K10+K12)/2*'Home Delivery and Leasing'!$J$14+'Home Delivery and Leasing'!$L$14)*'Assumptions'!$D$67,"n.a."),"n.a.")</x:f>
        <x:v>21500</x:v>
      </x:c>
      <x:c r="L20" s="51" t="n">
        <x:f>IF(AND('Home Delivery and Leasing'!N15="OK"),IF(AND(ISNUMBER(L10),ISNUMBER(L12),ISNUMBER('Home Delivery and Leasing'!$J$15),ISNUMBER('Home Delivery and Leasing'!$L$15),ISNUMBER('Assumptions'!$D$67)),((L10+L12)/2*'Home Delivery and Leasing'!$J$15+'Home Delivery and Leasing'!$L$15)*'Assumptions'!$D$67,"n.a."),"n.a.")</x:f>
        <x:v>21500</x:v>
      </x:c>
      <x:c r="M20" s="51" t="n">
        <x:f>IF(AND('Home Delivery and Leasing'!N16="OK"),IF(AND(ISNUMBER(M10),ISNUMBER(M12),ISNUMBER('Home Delivery and Leasing'!$J$16),ISNUMBER('Home Delivery and Leasing'!$L$16),ISNUMBER('Assumptions'!$D$67)),((M10+M12)/2*'Home Delivery and Leasing'!$J$16+'Home Delivery and Leasing'!$L$16)*'Assumptions'!$D$67,"n.a."),"n.a.")</x:f>
        <x:v>21500</x:v>
      </x:c>
      <x:c r="N20" s="51" t="n">
        <x:f>IF(AND('Home Delivery and Leasing'!N17="OK"),IF(AND(ISNUMBER(N10),ISNUMBER(N12),ISNUMBER('Home Delivery and Leasing'!$J$17),ISNUMBER('Home Delivery and Leasing'!$L$17),ISNUMBER('Assumptions'!$D$67)),((N10+N12)/2*'Home Delivery and Leasing'!$J$17+'Home Delivery and Leasing'!$L$17)*'Assumptions'!$D$67,"n.a."),"n.a.")</x:f>
        <x:v>21500</x:v>
      </x:c>
      <x:c r="O20" s="51" t="n">
        <x:f>IF(AND('Home Delivery and Leasing'!N18="OK"),IF(AND(ISNUMBER(O10),ISNUMBER(O12),ISNUMBER('Home Delivery and Leasing'!$J$18),ISNUMBER('Home Delivery and Leasing'!$L$18),ISNUMBER('Assumptions'!$D$67)),((O10+O12)/2*'Home Delivery and Leasing'!$J$18+'Home Delivery and Leasing'!$L$18)*'Assumptions'!$D$67,"n.a."),"n.a.")</x:f>
        <x:v>21500</x:v>
      </x:c>
      <x:c r="P20" s="51" t="n">
        <x:f>IF(AND('Home Delivery and Leasing'!N19="OK"),IF(AND(ISNUMBER(P10),ISNUMBER(P12),ISNUMBER('Home Delivery and Leasing'!$J$19),ISNUMBER('Home Delivery and Leasing'!$L$19),ISNUMBER('Assumptions'!$D$67)),((P10+P12)/2*'Home Delivery and Leasing'!$J$19+'Home Delivery and Leasing'!$L$19)*'Assumptions'!$D$67,"n.a."),"n.a.")</x:f>
        <x:v>21500</x:v>
      </x:c>
      <x:c r="Q20" s="51" t="n">
        <x:f>IF(AND('Home Delivery and Leasing'!N20="OK"),IF(AND(ISNUMBER(Q10),ISNUMBER(Q12),ISNUMBER('Home Delivery and Leasing'!$J$20),ISNUMBER('Home Delivery and Leasing'!$L$20),ISNUMBER('Assumptions'!$D$67)),((Q10+Q12)/2*'Home Delivery and Leasing'!$J$20+'Home Delivery and Leasing'!$L$20)*'Assumptions'!$D$67,"n.a."),"n.a.")</x:f>
        <x:v>21500</x:v>
      </x:c>
      <x:c r="R20" s="51" t="n">
        <x:f>IF(AND('Home Delivery and Leasing'!N21="OK"),IF(AND(ISNUMBER(R10),ISNUMBER(R12),ISNUMBER('Home Delivery and Leasing'!$J$21),ISNUMBER('Home Delivery and Leasing'!$L$21),ISNUMBER('Assumptions'!$D$67)),((R10+R12)/2*'Home Delivery and Leasing'!$J$21+'Home Delivery and Leasing'!$L$21)*'Assumptions'!$D$67,"n.a."),"n.a.")</x:f>
        <x:v>21500</x:v>
      </x:c>
    </x:row>
    <x:row r="21" ht="21" customHeight="1">
      <x:c r="A21" s="2"/>
      <x:c r="B21" s="2"/>
      <x:c r="C21" s="2" t="str">
        <x:v>Completion and community capital cash</x:v>
      </x:c>
      <x:c r="D21" s="2" t="str">
        <x:v>USD</x:v>
      </x:c>
      <x:c r="E21" s="52" t="n">
        <x:f>IF(COUNT(G21:R21)=12,SUM(G21:R21),"n.a.")</x:f>
        <x:v>616000</x:v>
      </x:c>
      <x:c r="F21" s="2"/>
      <x:c r="G21" s="51" t="n">
        <x:f>IF(AND('Home Delivery and Leasing'!N10="OK"),IF(AND(ISNUMBER('Home Delivery and Leasing'!$K$10),ISNUMBER('Assumptions'!$D$70)),'Home Delivery and Leasing'!$K$10*'Assumptions'!$D$70,"n.a."),"n.a.")</x:f>
        <x:v>140000</x:v>
      </x:c>
      <x:c r="H21" s="51" t="n">
        <x:f>IF(AND('Home Delivery and Leasing'!N11="OK"),IF(AND(ISNUMBER('Home Delivery and Leasing'!$K$11),ISNUMBER('Assumptions'!$D$70)),'Home Delivery and Leasing'!$K$11*'Assumptions'!$D$70,"n.a."),"n.a.")</x:f>
        <x:v>140000</x:v>
      </x:c>
      <x:c r="I21" s="51" t="n">
        <x:f>IF(AND('Home Delivery and Leasing'!N12="OK"),IF(AND(ISNUMBER('Home Delivery and Leasing'!$K$12),ISNUMBER('Assumptions'!$D$70)),'Home Delivery and Leasing'!$K$12*'Assumptions'!$D$70,"n.a."),"n.a.")</x:f>
        <x:v>140000</x:v>
      </x:c>
      <x:c r="J21" s="51" t="n">
        <x:f>IF(AND('Home Delivery and Leasing'!N13="OK"),IF(AND(ISNUMBER('Home Delivery and Leasing'!$K$13),ISNUMBER('Assumptions'!$D$70)),'Home Delivery and Leasing'!$K$13*'Assumptions'!$D$70,"n.a."),"n.a.")</x:f>
        <x:v>140000</x:v>
      </x:c>
      <x:c r="K21" s="51" t="n">
        <x:f>IF(AND('Home Delivery and Leasing'!N14="OK"),IF(AND(ISNUMBER('Home Delivery and Leasing'!$K$14),ISNUMBER('Assumptions'!$D$70)),'Home Delivery and Leasing'!$K$14*'Assumptions'!$D$70,"n.a."),"n.a.")</x:f>
        <x:v>7000</x:v>
      </x:c>
      <x:c r="L21" s="51" t="n">
        <x:f>IF(AND('Home Delivery and Leasing'!N15="OK"),IF(AND(ISNUMBER('Home Delivery and Leasing'!$K$15),ISNUMBER('Assumptions'!$D$70)),'Home Delivery and Leasing'!$K$15*'Assumptions'!$D$70,"n.a."),"n.a.")</x:f>
        <x:v>7000</x:v>
      </x:c>
      <x:c r="M21" s="51" t="n">
        <x:f>IF(AND('Home Delivery and Leasing'!N16="OK"),IF(AND(ISNUMBER('Home Delivery and Leasing'!$K$16),ISNUMBER('Assumptions'!$D$70)),'Home Delivery and Leasing'!$K$16*'Assumptions'!$D$70,"n.a."),"n.a.")</x:f>
        <x:v>7000</x:v>
      </x:c>
      <x:c r="N21" s="51" t="n">
        <x:f>IF(AND('Home Delivery and Leasing'!N17="OK"),IF(AND(ISNUMBER('Home Delivery and Leasing'!$K$17),ISNUMBER('Assumptions'!$D$70)),'Home Delivery and Leasing'!$K$17*'Assumptions'!$D$70,"n.a."),"n.a.")</x:f>
        <x:v>7000</x:v>
      </x:c>
      <x:c r="O21" s="51" t="n">
        <x:f>IF(AND('Home Delivery and Leasing'!N18="OK"),IF(AND(ISNUMBER('Home Delivery and Leasing'!$K$18),ISNUMBER('Assumptions'!$D$70)),'Home Delivery and Leasing'!$K$18*'Assumptions'!$D$70,"n.a."),"n.a.")</x:f>
        <x:v>7000</x:v>
      </x:c>
      <x:c r="P21" s="51" t="n">
        <x:f>IF(AND('Home Delivery and Leasing'!N19="OK"),IF(AND(ISNUMBER('Home Delivery and Leasing'!$K$19),ISNUMBER('Assumptions'!$D$70)),'Home Delivery and Leasing'!$K$19*'Assumptions'!$D$70,"n.a."),"n.a.")</x:f>
        <x:v>7000</x:v>
      </x:c>
      <x:c r="Q21" s="51" t="n">
        <x:f>IF(AND('Home Delivery and Leasing'!N20="OK"),IF(AND(ISNUMBER('Home Delivery and Leasing'!$K$20),ISNUMBER('Assumptions'!$D$70)),'Home Delivery and Leasing'!$K$20*'Assumptions'!$D$70,"n.a."),"n.a.")</x:f>
        <x:v>7000</x:v>
      </x:c>
      <x:c r="R21" s="51" t="n">
        <x:f>IF(AND('Home Delivery and Leasing'!N21="OK"),IF(AND(ISNUMBER('Home Delivery and Leasing'!$K$21),ISNUMBER('Assumptions'!$D$70)),'Home Delivery and Leasing'!$K$21*'Assumptions'!$D$70,"n.a."),"n.a.")</x:f>
        <x:v>7000</x:v>
      </x:c>
    </x:row>
    <x:row r="22" ht="21" customHeight="1">
      <x:c r="A22" s="2"/>
      <x:c r="B22" s="2"/>
      <x:c r="C22" s="2" t="str">
        <x:v>Fixed property / entity costs</x:v>
      </x:c>
      <x:c r="D22" s="2" t="str">
        <x:v>USD</x:v>
      </x:c>
      <x:c r="E22" s="52" t="n">
        <x:f>IF(COUNT(G22:R22)=12,SUM(G22:R22),"n.a.")</x:f>
        <x:v>300000</x:v>
      </x:c>
      <x:c r="F22" s="2"/>
      <x:c r="G22" s="51" t="n">
        <x:f>IF(AND(ISNUMBER('Assumptions'!$D$55)),'Assumptions'!$D$55/12,"n.a.")</x:f>
        <x:v>25000</x:v>
      </x:c>
      <x:c r="H22" s="51" t="n">
        <x:f>IF(AND(ISNUMBER('Assumptions'!$D$55)),'Assumptions'!$D$55/12,"n.a.")</x:f>
        <x:v>25000</x:v>
      </x:c>
      <x:c r="I22" s="51" t="n">
        <x:f>IF(AND(ISNUMBER('Assumptions'!$D$55)),'Assumptions'!$D$55/12,"n.a.")</x:f>
        <x:v>25000</x:v>
      </x:c>
      <x:c r="J22" s="51" t="n">
        <x:f>IF(AND(ISNUMBER('Assumptions'!$D$55)),'Assumptions'!$D$55/12,"n.a.")</x:f>
        <x:v>25000</x:v>
      </x:c>
      <x:c r="K22" s="51" t="n">
        <x:f>IF(AND(ISNUMBER('Assumptions'!$D$55)),'Assumptions'!$D$55/12,"n.a.")</x:f>
        <x:v>25000</x:v>
      </x:c>
      <x:c r="L22" s="51" t="n">
        <x:f>IF(AND(ISNUMBER('Assumptions'!$D$55)),'Assumptions'!$D$55/12,"n.a.")</x:f>
        <x:v>25000</x:v>
      </x:c>
      <x:c r="M22" s="51" t="n">
        <x:f>IF(AND(ISNUMBER('Assumptions'!$D$55)),'Assumptions'!$D$55/12,"n.a.")</x:f>
        <x:v>25000</x:v>
      </x:c>
      <x:c r="N22" s="51" t="n">
        <x:f>IF(AND(ISNUMBER('Assumptions'!$D$55)),'Assumptions'!$D$55/12,"n.a.")</x:f>
        <x:v>25000</x:v>
      </x:c>
      <x:c r="O22" s="51" t="n">
        <x:f>IF(AND(ISNUMBER('Assumptions'!$D$55)),'Assumptions'!$D$55/12,"n.a.")</x:f>
        <x:v>25000</x:v>
      </x:c>
      <x:c r="P22" s="51" t="n">
        <x:f>IF(AND(ISNUMBER('Assumptions'!$D$55)),'Assumptions'!$D$55/12,"n.a.")</x:f>
        <x:v>25000</x:v>
      </x:c>
      <x:c r="Q22" s="51" t="n">
        <x:f>IF(AND(ISNUMBER('Assumptions'!$D$55)),'Assumptions'!$D$55/12,"n.a.")</x:f>
        <x:v>25000</x:v>
      </x:c>
      <x:c r="R22" s="51" t="n">
        <x:f>IF(AND(ISNUMBER('Assumptions'!$D$55)),'Assumptions'!$D$55/12,"n.a.")</x:f>
        <x:v>25000</x:v>
      </x:c>
    </x:row>
    <x:row r="23" ht="21" customHeight="1">
      <x:c r="A23" s="2"/>
      <x:c r="B23" s="2"/>
      <x:c r="C23" s="58" t="str">
        <x:v>Total cash operating costs</x:v>
      </x:c>
      <x:c r="D23" s="58" t="str">
        <x:v>USD</x:v>
      </x:c>
      <x:c r="E23" s="59" t="n">
        <x:f>IF(COUNT(G23:R23)=12,SUM(G23:R23),"n.a.")</x:f>
        <x:v>548000</x:v>
      </x:c>
      <x:c r="F23" s="58"/>
      <x:c r="G23" s="59" t="n">
        <x:f>IF(AND(ISNUMBER(G20),ISNUMBER(G22)),G20+G22,"n.a.")</x:f>
        <x:v>42125</x:v>
      </x:c>
      <x:c r="H23" s="59" t="n">
        <x:f>IF(AND(ISNUMBER(H20),ISNUMBER(H22)),H20+H22,"n.a.")</x:f>
        <x:v>43375</x:v>
      </x:c>
      <x:c r="I23" s="59" t="n">
        <x:f>IF(AND(ISNUMBER(I20),ISNUMBER(I22)),I20+I22,"n.a.")</x:f>
        <x:v>44625</x:v>
      </x:c>
      <x:c r="J23" s="59" t="n">
        <x:f>IF(AND(ISNUMBER(J20),ISNUMBER(J22)),J20+J22,"n.a.")</x:f>
        <x:v>45875</x:v>
      </x:c>
      <x:c r="K23" s="59" t="n">
        <x:f>IF(AND(ISNUMBER(K20),ISNUMBER(K22)),K20+K22,"n.a.")</x:f>
        <x:v>46500</x:v>
      </x:c>
      <x:c r="L23" s="59" t="n">
        <x:f>IF(AND(ISNUMBER(L20),ISNUMBER(L22)),L20+L22,"n.a.")</x:f>
        <x:v>46500</x:v>
      </x:c>
      <x:c r="M23" s="59" t="n">
        <x:f>IF(AND(ISNUMBER(M20),ISNUMBER(M22)),M20+M22,"n.a.")</x:f>
        <x:v>46500</x:v>
      </x:c>
      <x:c r="N23" s="59" t="n">
        <x:f>IF(AND(ISNUMBER(N20),ISNUMBER(N22)),N20+N22,"n.a.")</x:f>
        <x:v>46500</x:v>
      </x:c>
      <x:c r="O23" s="59" t="n">
        <x:f>IF(AND(ISNUMBER(O20),ISNUMBER(O22)),O20+O22,"n.a.")</x:f>
        <x:v>46500</x:v>
      </x:c>
      <x:c r="P23" s="59" t="n">
        <x:f>IF(AND(ISNUMBER(P20),ISNUMBER(P22)),P20+P22,"n.a.")</x:f>
        <x:v>46500</x:v>
      </x:c>
      <x:c r="Q23" s="59" t="n">
        <x:f>IF(AND(ISNUMBER(Q20),ISNUMBER(Q22)),Q20+Q22,"n.a.")</x:f>
        <x:v>46500</x:v>
      </x:c>
      <x:c r="R23" s="59" t="n">
        <x:f>IF(AND(ISNUMBER(R20),ISNUMBER(R22)),R20+R22,"n.a.")</x:f>
        <x:v>46500</x:v>
      </x:c>
    </x:row>
    <x:row r="24" ht="21" customHeight="1">
      <x:c r="A24" s="2"/>
      <x:c r="B24" s="2"/>
      <x:c r="C24" s="58" t="str">
        <x:v>NOI / operating cash before reserves</x:v>
      </x:c>
      <x:c r="D24" s="58" t="str">
        <x:v>USD</x:v>
      </x:c>
      <x:c r="E24" s="59" t="n">
        <x:f>IF(COUNT(G24:R24)=12,SUM(G24:R24),"n.a.")</x:f>
        <x:v>1704670</x:v>
      </x:c>
      <x:c r="F24" s="58"/>
      <x:c r="G24" s="59" t="n">
        <x:f>IF(AND(ISNUMBER(G19),ISNUMBER(G23)),G19-G23,"n.a.")</x:f>
        <x:v>70137.5</x:v>
      </x:c>
      <x:c r="H24" s="59" t="n">
        <x:f>IF(AND(ISNUMBER(H19),ISNUMBER(H23)),H19-H23,"n.a.")</x:f>
        <x:v>88732.5</x:v>
      </x:c>
      <x:c r="I24" s="59" t="n">
        <x:f>IF(AND(ISNUMBER(I19),ISNUMBER(I23)),I19-I23,"n.a.")</x:f>
        <x:v>107327.5</x:v>
      </x:c>
      <x:c r="J24" s="59" t="n">
        <x:f>IF(AND(ISNUMBER(J19),ISNUMBER(J23)),J19-J23,"n.a.")</x:f>
        <x:v>125922.5</x:v>
      </x:c>
      <x:c r="K24" s="59" t="n">
        <x:f>IF(AND(ISNUMBER(K19),ISNUMBER(K23)),K19-K23,"n.a.")</x:f>
        <x:v>142937.5</x:v>
      </x:c>
      <x:c r="L24" s="59" t="n">
        <x:f>IF(AND(ISNUMBER(L19),ISNUMBER(L23)),L19-L23,"n.a.")</x:f>
        <x:v>158372.5</x:v>
      </x:c>
      <x:c r="M24" s="59" t="n">
        <x:f>IF(AND(ISNUMBER(M19),ISNUMBER(M23)),M19-M23,"n.a.")</x:f>
        <x:v>168540</x:v>
      </x:c>
      <x:c r="N24" s="59" t="n">
        <x:f>IF(AND(ISNUMBER(N19),ISNUMBER(N23)),N19-N23,"n.a.")</x:f>
        <x:v>168540</x:v>
      </x:c>
      <x:c r="O24" s="59" t="n">
        <x:f>IF(AND(ISNUMBER(O19),ISNUMBER(O23)),O19-O23,"n.a.")</x:f>
        <x:v>168540</x:v>
      </x:c>
      <x:c r="P24" s="59" t="n">
        <x:f>IF(AND(ISNUMBER(P19),ISNUMBER(P23)),P19-P23,"n.a.")</x:f>
        <x:v>168540</x:v>
      </x:c>
      <x:c r="Q24" s="59" t="n">
        <x:f>IF(AND(ISNUMBER(Q19),ISNUMBER(Q23)),Q19-Q23,"n.a.")</x:f>
        <x:v>168540</x:v>
      </x:c>
      <x:c r="R24" s="59" t="n">
        <x:f>IF(AND(ISNUMBER(R19),ISNUMBER(R23)),R19-R23,"n.a.")</x:f>
        <x:v>168540</x:v>
      </x:c>
    </x:row>
    <x:row r="25" ht="21" customHeight="1">
      <x:c r="A25" s="2"/>
      <x:c r="B25" s="2"/>
      <x:c r="C25" s="2" t="str">
        <x:v>Cash replacement reserve deposits</x:v>
      </x:c>
      <x:c r="D25" s="2" t="str">
        <x:v>USD</x:v>
      </x:c>
      <x:c r="E25" s="52" t="n">
        <x:f>IF(COUNT(G25:R25)=12,SUM(G25:R25),"n.a.")</x:f>
        <x:v>67580.09999999999</x:v>
      </x:c>
      <x:c r="F25" s="2"/>
      <x:c r="G25" s="51" t="n">
        <x:f>IF(AND(ISNUMBER(G19),ISNUMBER('Assumptions'!$D$58)),MAX(0,G19)*'Assumptions'!$D$58,"n.a.")</x:f>
        <x:v>3367.875</x:v>
      </x:c>
      <x:c r="H25" s="51" t="n">
        <x:f>IF(AND(ISNUMBER(H19),ISNUMBER('Assumptions'!$D$58)),MAX(0,H19)*'Assumptions'!$D$58,"n.a.")</x:f>
        <x:v>3963.225</x:v>
      </x:c>
      <x:c r="I25" s="51" t="n">
        <x:f>IF(AND(ISNUMBER(I19),ISNUMBER('Assumptions'!$D$58)),MAX(0,I19)*'Assumptions'!$D$58,"n.a.")</x:f>
        <x:v>4558.575</x:v>
      </x:c>
      <x:c r="J25" s="51" t="n">
        <x:f>IF(AND(ISNUMBER(J19),ISNUMBER('Assumptions'!$D$58)),MAX(0,J19)*'Assumptions'!$D$58,"n.a.")</x:f>
        <x:v>5153.925</x:v>
      </x:c>
      <x:c r="K25" s="51" t="n">
        <x:f>IF(AND(ISNUMBER(K19),ISNUMBER('Assumptions'!$D$58)),MAX(0,K19)*'Assumptions'!$D$58,"n.a.")</x:f>
        <x:v>5683.125</x:v>
      </x:c>
      <x:c r="L25" s="51" t="n">
        <x:f>IF(AND(ISNUMBER(L19),ISNUMBER('Assumptions'!$D$58)),MAX(0,L19)*'Assumptions'!$D$58,"n.a.")</x:f>
        <x:v>6146.175</x:v>
      </x:c>
      <x:c r="M25" s="51" t="n">
        <x:f>IF(AND(ISNUMBER(M19),ISNUMBER('Assumptions'!$D$58)),MAX(0,M19)*'Assumptions'!$D$58,"n.a.")</x:f>
        <x:v>6451.2</x:v>
      </x:c>
      <x:c r="N25" s="51" t="n">
        <x:f>IF(AND(ISNUMBER(N19),ISNUMBER('Assumptions'!$D$58)),MAX(0,N19)*'Assumptions'!$D$58,"n.a.")</x:f>
        <x:v>6451.2</x:v>
      </x:c>
      <x:c r="O25" s="51" t="n">
        <x:f>IF(AND(ISNUMBER(O19),ISNUMBER('Assumptions'!$D$58)),MAX(0,O19)*'Assumptions'!$D$58,"n.a.")</x:f>
        <x:v>6451.2</x:v>
      </x:c>
      <x:c r="P25" s="51" t="n">
        <x:f>IF(AND(ISNUMBER(P19),ISNUMBER('Assumptions'!$D$58)),MAX(0,P19)*'Assumptions'!$D$58,"n.a.")</x:f>
        <x:v>6451.2</x:v>
      </x:c>
      <x:c r="Q25" s="51" t="n">
        <x:f>IF(AND(ISNUMBER(Q19),ISNUMBER('Assumptions'!$D$58)),MAX(0,Q19)*'Assumptions'!$D$58,"n.a.")</x:f>
        <x:v>6451.2</x:v>
      </x:c>
      <x:c r="R25" s="51" t="n">
        <x:f>IF(AND(ISNUMBER(R19),ISNUMBER('Assumptions'!$D$58)),MAX(0,R19)*'Assumptions'!$D$58,"n.a.")</x:f>
        <x:v>6451.2</x:v>
      </x:c>
    </x:row>
    <x:row r="26" ht="21" customHeight="1">
      <x:c r="A26" s="2"/>
      <x:c r="B26" s="2"/>
      <x:c r="C26" s="58" t="str">
        <x:v>Cash NCF before property debt / capital</x:v>
      </x:c>
      <x:c r="D26" s="58" t="str">
        <x:v>USD</x:v>
      </x:c>
      <x:c r="E26" s="59" t="n">
        <x:f>IF(COUNT(G26:R26)=12,SUM(G26:R26),"n.a.")</x:f>
        <x:v>1637089.9000000004</x:v>
      </x:c>
      <x:c r="F26" s="58"/>
      <x:c r="G26" s="59" t="n">
        <x:f>IF(AND(ISNUMBER(G24),ISNUMBER(G25)),G24-G25,"n.a.")</x:f>
        <x:v>66769.625</x:v>
      </x:c>
      <x:c r="H26" s="59" t="n">
        <x:f>IF(AND(ISNUMBER(H24),ISNUMBER(H25)),H24-H25,"n.a.")</x:f>
        <x:v>84769.275</x:v>
      </x:c>
      <x:c r="I26" s="59" t="n">
        <x:f>IF(AND(ISNUMBER(I24),ISNUMBER(I25)),I24-I25,"n.a.")</x:f>
        <x:v>102768.925</x:v>
      </x:c>
      <x:c r="J26" s="59" t="n">
        <x:f>IF(AND(ISNUMBER(J24),ISNUMBER(J25)),J24-J25,"n.a.")</x:f>
        <x:v>120768.575</x:v>
      </x:c>
      <x:c r="K26" s="59" t="n">
        <x:f>IF(AND(ISNUMBER(K24),ISNUMBER(K25)),K24-K25,"n.a.")</x:f>
        <x:v>137254.375</x:v>
      </x:c>
      <x:c r="L26" s="59" t="n">
        <x:f>IF(AND(ISNUMBER(L24),ISNUMBER(L25)),L24-L25,"n.a.")</x:f>
        <x:v>152226.325</x:v>
      </x:c>
      <x:c r="M26" s="59" t="n">
        <x:f>IF(AND(ISNUMBER(M24),ISNUMBER(M25)),M24-M25,"n.a.")</x:f>
        <x:v>162088.8</x:v>
      </x:c>
      <x:c r="N26" s="59" t="n">
        <x:f>IF(AND(ISNUMBER(N24),ISNUMBER(N25)),N24-N25,"n.a.")</x:f>
        <x:v>162088.8</x:v>
      </x:c>
      <x:c r="O26" s="59" t="n">
        <x:f>IF(AND(ISNUMBER(O24),ISNUMBER(O25)),O24-O25,"n.a.")</x:f>
        <x:v>162088.8</x:v>
      </x:c>
      <x:c r="P26" s="59" t="n">
        <x:f>IF(AND(ISNUMBER(P24),ISNUMBER(P25)),P24-P25,"n.a.")</x:f>
        <x:v>162088.8</x:v>
      </x:c>
      <x:c r="Q26" s="59" t="n">
        <x:f>IF(AND(ISNUMBER(Q24),ISNUMBER(Q25)),Q24-Q25,"n.a.")</x:f>
        <x:v>162088.8</x:v>
      </x:c>
      <x:c r="R26" s="59" t="n">
        <x:f>IF(AND(ISNUMBER(R24),ISNUMBER(R25)),R24-R25,"n.a.")</x:f>
        <x:v>162088.8</x:v>
      </x:c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51" t="n">
        <x:f>IF(AND(ISNUMBER('Operations'!E26),ISNUMBER('Assumptions'!$D$52)),'Operations'!E26+'Assumptions'!$D$52,"n.a.")</x:f>
        <x:v>1637089.9000000004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62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51" t="n">
        <x:f>IF(AND(ISNUMBER(D9),ISNUMBER('Assumptions'!$D$46),ISNUMBER(D10)),MAX(0,D9)/'Assumptions'!$D$46/(D10*12),"n.a.")</x:f>
        <x:v>16163828.364740122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51" t="n">
        <x:f>IF(AND(ISNUMBER('Assumptions'!$D$10),ISNUMBER('Assumptions'!$D$43)),'Assumptions'!$D$10*'Assumptions'!$D$43,"n.a.")</x:f>
        <x:v>12350000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51" t="n">
        <x:f>IF(AND(ISNUMBER(D9),ISNUMBER('Assumptions'!$D$49)),MAX(0,D9)/'Assumptions'!$D$49,"n.a.")</x:f>
        <x:v>18189887.777777784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51" t="n">
        <x:f>IF(AND(ISNUMBER(D11),ISNUMBER(D12),ISNUMBER(D13),ISNUMBER('Assumptions'!$D$28)),MIN(D11,D12,D13,'Assumptions'!$D$28),"n.a.")</x:f>
        <x:v>11000000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Requested ceiling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52" t="n">
        <x:f>IF(AND(ISNUMBER(D14),ISNUMBER(D10)),D14*D10,"n.a.")</x:f>
        <x:v>74272.78774824057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51" t="n">
        <x:f>IF(AND(ISNUMBER('Assumptions'!$D$13),ISNUMBER('Assumptions'!$D$16),ISNUMBER('Assumptions'!$D$19),ISNUMBER('Assumptions'!$D$22)),'Assumptions'!$D$13+'Assumptions'!$D$16+'Assumptions'!$D$19+'Assumptions'!$D$22,"n.a.")</x:f>
        <x:v>15550000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52" t="n">
        <x:f>IF(AND(ISNUMBER(D17),ISNUMBER(D14)),D17-D14,"n.a.")</x:f>
        <x:v>4550000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51" t="n">
        <x:f>IF(AND(ISNUMBER('Assumptions'!$D$25),ISNUMBER(D18)),'Assumptions'!$D$25-D18,"n.a.")</x:f>
        <x:v>3450000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51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10081437.355774214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63" t="n">
        <x:f>IF(AND(ISNUMBER(D14)),D14,"n.a.")</x:f>
        <x:v>11000000</x:v>
      </x:c>
      <x:c r="H29" s="63" t="n">
        <x:f>IF(AND(ISNUMBER(G33)),G33,"n.a.")</x:f>
        <x:v>11000000</x:v>
      </x:c>
      <x:c r="I29" s="63" t="n">
        <x:f>IF(AND(ISNUMBER(H33)),H33,"n.a.")</x:f>
        <x:v>11000000</x:v>
      </x:c>
      <x:c r="J29" s="63" t="n">
        <x:f>IF(AND(ISNUMBER(I33)),I33,"n.a.")</x:f>
        <x:v>11000000</x:v>
      </x:c>
      <x:c r="K29" s="63" t="n">
        <x:f>IF(AND(ISNUMBER(J33)),J33,"n.a.")</x:f>
        <x:v>11000000</x:v>
      </x:c>
      <x:c r="L29" s="63" t="n">
        <x:f>IF(AND(ISNUMBER(K33)),K33,"n.a.")</x:f>
        <x:v>11000000</x:v>
      </x:c>
      <x:c r="M29" s="63" t="n">
        <x:f>IF(AND(ISNUMBER(L33)),L33,"n.a.")</x:f>
        <x:v>11000000</x:v>
      </x:c>
      <x:c r="N29" s="63" t="n">
        <x:f>IF(AND(ISNUMBER(M33)),M33,"n.a.")</x:f>
        <x:v>10985310.545585092</x:v>
      </x:c>
      <x:c r="O29" s="63" t="n">
        <x:f>IF(AND(ISNUMBER(N33)),N33,"n.a.")</x:f>
        <x:v>10970541.523292104</x:v>
      </x:c>
      <x:c r="P29" s="63" t="n">
        <x:f>IF(AND(ISNUMBER(O33)),O33,"n.a.")</x:f>
        <x:v>10955692.502128363</x:v>
      </x:c>
      <x:c r="Q29" s="63" t="n">
        <x:f>IF(AND(ISNUMBER(P33)),P33,"n.a.")</x:f>
        <x:v>10940763.04876665</x:v>
      </x:c>
      <x:c r="R29" s="63" t="n">
        <x:f>IF(AND(ISNUMBER(Q33)),Q33,"n.a.")</x:f>
        <x:v>10925752.727532562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64" t="n">
        <x:f>IF(AND(ISNUMBER(G29),ISNUMBER('Assumptions'!$D$31)),G29*'Assumptions'!$D$31/12,"n.a.")</x:f>
        <x:v>59583.333333333336</x:v>
      </x:c>
      <x:c r="H30" s="64" t="n">
        <x:f>IF(AND(ISNUMBER(H29),ISNUMBER('Assumptions'!$D$31)),H29*'Assumptions'!$D$31/12,"n.a.")</x:f>
        <x:v>59583.333333333336</x:v>
      </x:c>
      <x:c r="I30" s="64" t="n">
        <x:f>IF(AND(ISNUMBER(I29),ISNUMBER('Assumptions'!$D$31)),I29*'Assumptions'!$D$31/12,"n.a.")</x:f>
        <x:v>59583.333333333336</x:v>
      </x:c>
      <x:c r="J30" s="64" t="n">
        <x:f>IF(AND(ISNUMBER(J29),ISNUMBER('Assumptions'!$D$31)),J29*'Assumptions'!$D$31/12,"n.a.")</x:f>
        <x:v>59583.333333333336</x:v>
      </x:c>
      <x:c r="K30" s="64" t="n">
        <x:f>IF(AND(ISNUMBER(K29),ISNUMBER('Assumptions'!$D$31)),K29*'Assumptions'!$D$31/12,"n.a.")</x:f>
        <x:v>59583.333333333336</x:v>
      </x:c>
      <x:c r="L30" s="64" t="n">
        <x:f>IF(AND(ISNUMBER(L29),ISNUMBER('Assumptions'!$D$31)),L29*'Assumptions'!$D$31/12,"n.a.")</x:f>
        <x:v>59583.333333333336</x:v>
      </x:c>
      <x:c r="M30" s="64" t="n">
        <x:f>IF(AND(ISNUMBER(M29),ISNUMBER('Assumptions'!$D$31)),M29*'Assumptions'!$D$31/12,"n.a.")</x:f>
        <x:v>59583.333333333336</x:v>
      </x:c>
      <x:c r="N30" s="64" t="n">
        <x:f>IF(AND(ISNUMBER(N29),ISNUMBER('Assumptions'!$D$31)),N29*'Assumptions'!$D$31/12,"n.a.")</x:f>
        <x:v>59503.765455252586</x:v>
      </x:c>
      <x:c r="O30" s="64" t="n">
        <x:f>IF(AND(ISNUMBER(O29),ISNUMBER('Assumptions'!$D$31)),O29*'Assumptions'!$D$31/12,"n.a.")</x:f>
        <x:v>59423.766584498895</x:v>
      </x:c>
      <x:c r="P30" s="64" t="n">
        <x:f>IF(AND(ISNUMBER(P29),ISNUMBER('Assumptions'!$D$31)),P29*'Assumptions'!$D$31/12,"n.a.")</x:f>
        <x:v>59343.33438652864</x:v>
      </x:c>
      <x:c r="Q30" s="64" t="n">
        <x:f>IF(AND(ISNUMBER(Q29),ISNUMBER('Assumptions'!$D$31)),Q29*'Assumptions'!$D$31/12,"n.a.")</x:f>
        <x:v>59262.466514152686</x:v>
      </x:c>
      <x:c r="R30" s="64" t="n">
        <x:f>IF(AND(ISNUMBER(R29),ISNUMBER('Assumptions'!$D$31)),R29*'Assumptions'!$D$31/12,"n.a.")</x:f>
        <x:v>59181.160607468046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64" t="n">
        <x:f>IF(AND(ISNUMBER('Assumptions'!$D$37),ISNUMBER(G30),ISNUMBER(G29),ISNUMBER(D16)),IF(1&lt;='Assumptions'!$D$37,G30,MIN(G29+G30,D16)),"n.a.")</x:f>
        <x:v>59583.333333333336</x:v>
      </x:c>
      <x:c r="H31" s="64" t="n">
        <x:f>IF(AND(ISNUMBER('Assumptions'!$D$37),ISNUMBER(H30),ISNUMBER(H29),ISNUMBER(D16)),IF(2&lt;='Assumptions'!$D$37,H30,MIN(H29+H30,D16)),"n.a.")</x:f>
        <x:v>59583.333333333336</x:v>
      </x:c>
      <x:c r="I31" s="64" t="n">
        <x:f>IF(AND(ISNUMBER('Assumptions'!$D$37),ISNUMBER(I30),ISNUMBER(I29),ISNUMBER(D16)),IF(3&lt;='Assumptions'!$D$37,I30,MIN(I29+I30,D16)),"n.a.")</x:f>
        <x:v>59583.333333333336</x:v>
      </x:c>
      <x:c r="J31" s="64" t="n">
        <x:f>IF(AND(ISNUMBER('Assumptions'!$D$37),ISNUMBER(J30),ISNUMBER(J29),ISNUMBER(D16)),IF(4&lt;='Assumptions'!$D$37,J30,MIN(J29+J30,D16)),"n.a.")</x:f>
        <x:v>59583.333333333336</x:v>
      </x:c>
      <x:c r="K31" s="64" t="n">
        <x:f>IF(AND(ISNUMBER('Assumptions'!$D$37),ISNUMBER(K30),ISNUMBER(K29),ISNUMBER(D16)),IF(5&lt;='Assumptions'!$D$37,K30,MIN(K29+K30,D16)),"n.a.")</x:f>
        <x:v>59583.333333333336</x:v>
      </x:c>
      <x:c r="L31" s="64" t="n">
        <x:f>IF(AND(ISNUMBER('Assumptions'!$D$37),ISNUMBER(L30),ISNUMBER(L29),ISNUMBER(D16)),IF(6&lt;='Assumptions'!$D$37,L30,MIN(L29+L30,D16)),"n.a.")</x:f>
        <x:v>59583.333333333336</x:v>
      </x:c>
      <x:c r="M31" s="64" t="n">
        <x:f>IF(AND(ISNUMBER('Assumptions'!$D$37),ISNUMBER(M30),ISNUMBER(M29),ISNUMBER(D16)),IF(7&lt;='Assumptions'!$D$37,M30,MIN(M29+M30,D16)),"n.a.")</x:f>
        <x:v>74272.78774824057</x:v>
      </x:c>
      <x:c r="N31" s="64" t="n">
        <x:f>IF(AND(ISNUMBER('Assumptions'!$D$37),ISNUMBER(N30),ISNUMBER(N29),ISNUMBER(D16)),IF(8&lt;='Assumptions'!$D$37,N30,MIN(N29+N30,D16)),"n.a.")</x:f>
        <x:v>74272.78774824057</x:v>
      </x:c>
      <x:c r="O31" s="64" t="n">
        <x:f>IF(AND(ISNUMBER('Assumptions'!$D$37),ISNUMBER(O30),ISNUMBER(O29),ISNUMBER(D16)),IF(9&lt;='Assumptions'!$D$37,O30,MIN(O29+O30,D16)),"n.a.")</x:f>
        <x:v>74272.78774824057</x:v>
      </x:c>
      <x:c r="P31" s="64" t="n">
        <x:f>IF(AND(ISNUMBER('Assumptions'!$D$37),ISNUMBER(P30),ISNUMBER(P29),ISNUMBER(D16)),IF(10&lt;='Assumptions'!$D$37,P30,MIN(P29+P30,D16)),"n.a.")</x:f>
        <x:v>74272.78774824057</x:v>
      </x:c>
      <x:c r="Q31" s="64" t="n">
        <x:f>IF(AND(ISNUMBER('Assumptions'!$D$37),ISNUMBER(Q30),ISNUMBER(Q29),ISNUMBER(D16)),IF(11&lt;='Assumptions'!$D$37,Q30,MIN(Q29+Q30,D16)),"n.a.")</x:f>
        <x:v>74272.78774824057</x:v>
      </x:c>
      <x:c r="R31" s="64" t="n">
        <x:f>IF(AND(ISNUMBER('Assumptions'!$D$37),ISNUMBER(R30),ISNUMBER(R29),ISNUMBER(D16)),IF(12&lt;='Assumptions'!$D$37,R30,MIN(R29+R30,D16)),"n.a.")</x:f>
        <x:v>74272.78774824057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63" t="n">
        <x:f>IF(AND(ISNUMBER(G31),ISNUMBER(G30)),G31-G30,"n.a.")</x:f>
        <x:v>0</x:v>
      </x:c>
      <x:c r="H32" s="63" t="n">
        <x:f>IF(AND(ISNUMBER(H31),ISNUMBER(H30)),H31-H30,"n.a.")</x:f>
        <x:v>0</x:v>
      </x:c>
      <x:c r="I32" s="63" t="n">
        <x:f>IF(AND(ISNUMBER(I31),ISNUMBER(I30)),I31-I30,"n.a.")</x:f>
        <x:v>0</x:v>
      </x:c>
      <x:c r="J32" s="63" t="n">
        <x:f>IF(AND(ISNUMBER(J31),ISNUMBER(J30)),J31-J30,"n.a.")</x:f>
        <x:v>0</x:v>
      </x:c>
      <x:c r="K32" s="63" t="n">
        <x:f>IF(AND(ISNUMBER(K31),ISNUMBER(K30)),K31-K30,"n.a.")</x:f>
        <x:v>0</x:v>
      </x:c>
      <x:c r="L32" s="63" t="n">
        <x:f>IF(AND(ISNUMBER(L31),ISNUMBER(L30)),L31-L30,"n.a.")</x:f>
        <x:v>0</x:v>
      </x:c>
      <x:c r="M32" s="63" t="n">
        <x:f>IF(AND(ISNUMBER(M31),ISNUMBER(M30)),M31-M30,"n.a.")</x:f>
        <x:v>14689.454414907239</x:v>
      </x:c>
      <x:c r="N32" s="63" t="n">
        <x:f>IF(AND(ISNUMBER(N31),ISNUMBER(N30)),N31-N30,"n.a.")</x:f>
        <x:v>14769.02229298799</x:v>
      </x:c>
      <x:c r="O32" s="63" t="n">
        <x:f>IF(AND(ISNUMBER(O31),ISNUMBER(O30)),O31-O30,"n.a.")</x:f>
        <x:v>14849.02116374168</x:v>
      </x:c>
      <x:c r="P32" s="63" t="n">
        <x:f>IF(AND(ISNUMBER(P31),ISNUMBER(P30)),P31-P30,"n.a.")</x:f>
        <x:v>14929.453361711938</x:v>
      </x:c>
      <x:c r="Q32" s="63" t="n">
        <x:f>IF(AND(ISNUMBER(Q31),ISNUMBER(Q30)),Q31-Q30,"n.a.")</x:f>
        <x:v>15010.321234087889</x:v>
      </x:c>
      <x:c r="R32" s="63" t="n">
        <x:f>IF(AND(ISNUMBER(R31),ISNUMBER(R30)),R31-R30,"n.a.")</x:f>
        <x:v>15091.627140772529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63" t="n">
        <x:f>IF(AND(ISNUMBER(G29),ISNUMBER(G32),ISNUMBER(G38)),G29-G32-G38,"n.a.")</x:f>
        <x:v>11000000</x:v>
      </x:c>
      <x:c r="H33" s="63" t="n">
        <x:f>IF(AND(ISNUMBER(H29),ISNUMBER(H32),ISNUMBER(H38)),H29-H32-H38,"n.a.")</x:f>
        <x:v>11000000</x:v>
      </x:c>
      <x:c r="I33" s="63" t="n">
        <x:f>IF(AND(ISNUMBER(I29),ISNUMBER(I32),ISNUMBER(I38)),I29-I32-I38,"n.a.")</x:f>
        <x:v>11000000</x:v>
      </x:c>
      <x:c r="J33" s="63" t="n">
        <x:f>IF(AND(ISNUMBER(J29),ISNUMBER(J32),ISNUMBER(J38)),J29-J32-J38,"n.a.")</x:f>
        <x:v>11000000</x:v>
      </x:c>
      <x:c r="K33" s="63" t="n">
        <x:f>IF(AND(ISNUMBER(K29),ISNUMBER(K32),ISNUMBER(K38)),K29-K32-K38,"n.a.")</x:f>
        <x:v>11000000</x:v>
      </x:c>
      <x:c r="L33" s="63" t="n">
        <x:f>IF(AND(ISNUMBER(L29),ISNUMBER(L32),ISNUMBER(L38)),L29-L32-L38,"n.a.")</x:f>
        <x:v>11000000</x:v>
      </x:c>
      <x:c r="M33" s="63" t="n">
        <x:f>IF(AND(ISNUMBER(M29),ISNUMBER(M32),ISNUMBER(M38)),M29-M32-M38,"n.a.")</x:f>
        <x:v>10985310.545585092</x:v>
      </x:c>
      <x:c r="N33" s="63" t="n">
        <x:f>IF(AND(ISNUMBER(N29),ISNUMBER(N32),ISNUMBER(N38)),N29-N32-N38,"n.a.")</x:f>
        <x:v>10970541.523292104</x:v>
      </x:c>
      <x:c r="O33" s="63" t="n">
        <x:f>IF(AND(ISNUMBER(O29),ISNUMBER(O32),ISNUMBER(O38)),O29-O32-O38,"n.a.")</x:f>
        <x:v>10955692.502128363</x:v>
      </x:c>
      <x:c r="P33" s="63" t="n">
        <x:f>IF(AND(ISNUMBER(P29),ISNUMBER(P32),ISNUMBER(P38)),P29-P32-P38,"n.a.")</x:f>
        <x:v>10940763.04876665</x:v>
      </x:c>
      <x:c r="Q33" s="63" t="n">
        <x:f>IF(AND(ISNUMBER(Q29),ISNUMBER(Q32),ISNUMBER(Q38)),Q29-Q32-Q38,"n.a.")</x:f>
        <x:v>10925752.727532562</x:v>
      </x:c>
      <x:c r="R33" s="63" t="n">
        <x:f>IF(AND(ISNUMBER(R29),ISNUMBER(R32),ISNUMBER(R38)),R29-R32-R38,"n.a.")</x:f>
        <x:v>10910661.10039179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64" t="n">
        <x:f>IF(AND(ISNUMBER('Operations'!G26)),'Operations'!G26,"n.a.")</x:f>
        <x:v>66769.625</x:v>
      </x:c>
      <x:c r="H34" s="64" t="n">
        <x:f>IF(AND(ISNUMBER('Operations'!H26)),'Operations'!H26,"n.a.")</x:f>
        <x:v>84769.275</x:v>
      </x:c>
      <x:c r="I34" s="64" t="n">
        <x:f>IF(AND(ISNUMBER('Operations'!I26)),'Operations'!I26,"n.a.")</x:f>
        <x:v>102768.925</x:v>
      </x:c>
      <x:c r="J34" s="64" t="n">
        <x:f>IF(AND(ISNUMBER('Operations'!J26)),'Operations'!J26,"n.a.")</x:f>
        <x:v>120768.575</x:v>
      </x:c>
      <x:c r="K34" s="64" t="n">
        <x:f>IF(AND(ISNUMBER('Operations'!K26)),'Operations'!K26,"n.a.")</x:f>
        <x:v>137254.375</x:v>
      </x:c>
      <x:c r="L34" s="64" t="n">
        <x:f>IF(AND(ISNUMBER('Operations'!L26)),'Operations'!L26,"n.a.")</x:f>
        <x:v>152226.325</x:v>
      </x:c>
      <x:c r="M34" s="64" t="n">
        <x:f>IF(AND(ISNUMBER('Operations'!M26)),'Operations'!M26,"n.a.")</x:f>
        <x:v>162088.8</x:v>
      </x:c>
      <x:c r="N34" s="64" t="n">
        <x:f>IF(AND(ISNUMBER('Operations'!N26)),'Operations'!N26,"n.a.")</x:f>
        <x:v>162088.8</x:v>
      </x:c>
      <x:c r="O34" s="64" t="n">
        <x:f>IF(AND(ISNUMBER('Operations'!O26)),'Operations'!O26,"n.a.")</x:f>
        <x:v>162088.8</x:v>
      </x:c>
      <x:c r="P34" s="64" t="n">
        <x:f>IF(AND(ISNUMBER('Operations'!P26)),'Operations'!P26,"n.a.")</x:f>
        <x:v>162088.8</x:v>
      </x:c>
      <x:c r="Q34" s="64" t="n">
        <x:f>IF(AND(ISNUMBER('Operations'!Q26)),'Operations'!Q26,"n.a.")</x:f>
        <x:v>162088.8</x:v>
      </x:c>
      <x:c r="R34" s="64" t="n">
        <x:f>IF(AND(ISNUMBER('Operations'!R26)),'Operations'!R26,"n.a.")</x:f>
        <x:v>162088.8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64" t="n">
        <x:f>IF(AND(ISNUMBER('Operations'!G21)),'Operations'!G21,"n.a.")</x:f>
        <x:v>140000</x:v>
      </x:c>
      <x:c r="H35" s="64" t="n">
        <x:f>IF(AND(ISNUMBER('Operations'!H21)),'Operations'!H21,"n.a.")</x:f>
        <x:v>140000</x:v>
      </x:c>
      <x:c r="I35" s="64" t="n">
        <x:f>IF(AND(ISNUMBER('Operations'!I21)),'Operations'!I21,"n.a.")</x:f>
        <x:v>140000</x:v>
      </x:c>
      <x:c r="J35" s="64" t="n">
        <x:f>IF(AND(ISNUMBER('Operations'!J21)),'Operations'!J21,"n.a.")</x:f>
        <x:v>140000</x:v>
      </x:c>
      <x:c r="K35" s="64" t="n">
        <x:f>IF(AND(ISNUMBER('Operations'!K21)),'Operations'!K21,"n.a.")</x:f>
        <x:v>7000</x:v>
      </x:c>
      <x:c r="L35" s="64" t="n">
        <x:f>IF(AND(ISNUMBER('Operations'!L21)),'Operations'!L21,"n.a.")</x:f>
        <x:v>7000</x:v>
      </x:c>
      <x:c r="M35" s="64" t="n">
        <x:f>IF(AND(ISNUMBER('Operations'!M21)),'Operations'!M21,"n.a.")</x:f>
        <x:v>7000</x:v>
      </x:c>
      <x:c r="N35" s="64" t="n">
        <x:f>IF(AND(ISNUMBER('Operations'!N21)),'Operations'!N21,"n.a.")</x:f>
        <x:v>7000</x:v>
      </x:c>
      <x:c r="O35" s="64" t="n">
        <x:f>IF(AND(ISNUMBER('Operations'!O21)),'Operations'!O21,"n.a.")</x:f>
        <x:v>7000</x:v>
      </x:c>
      <x:c r="P35" s="64" t="n">
        <x:f>IF(AND(ISNUMBER('Operations'!P21)),'Operations'!P21,"n.a.")</x:f>
        <x:v>7000</x:v>
      </x:c>
      <x:c r="Q35" s="64" t="n">
        <x:f>IF(AND(ISNUMBER('Operations'!Q21)),'Operations'!Q21,"n.a.")</x:f>
        <x:v>7000</x:v>
      </x:c>
      <x:c r="R35" s="64" t="n">
        <x:f>IF(AND(ISNUMBER('Operations'!R21)),'Operations'!R21,"n.a.")</x:f>
        <x:v>7000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63" t="n">
        <x:f>IF(AND(ISNUMBER(G34),ISNUMBER(G31),ISNUMBER(G35),ISNUMBER(G38)),G34-G31-G35-G38,"n.a.")</x:f>
        <x:v>-132813.70833333334</x:v>
      </x:c>
      <x:c r="H36" s="63" t="n">
        <x:f>IF(AND(ISNUMBER(H34),ISNUMBER(H31),ISNUMBER(H35),ISNUMBER(H38)),H34-H31-H35-H38,"n.a.")</x:f>
        <x:v>-114814.05833333335</x:v>
      </x:c>
      <x:c r="I36" s="63" t="n">
        <x:f>IF(AND(ISNUMBER(I34),ISNUMBER(I31),ISNUMBER(I35),ISNUMBER(I38)),I34-I31-I35-I38,"n.a.")</x:f>
        <x:v>-96814.40833333333</x:v>
      </x:c>
      <x:c r="J36" s="63" t="n">
        <x:f>IF(AND(ISNUMBER(J34),ISNUMBER(J31),ISNUMBER(J35),ISNUMBER(J38)),J34-J31-J35-J38,"n.a.")</x:f>
        <x:v>-78814.75833333333</x:v>
      </x:c>
      <x:c r="K36" s="63" t="n">
        <x:f>IF(AND(ISNUMBER(K34),ISNUMBER(K31),ISNUMBER(K35),ISNUMBER(K38)),K34-K31-K35-K38,"n.a.")</x:f>
        <x:v>70671.04166666666</x:v>
      </x:c>
      <x:c r="L36" s="63" t="n">
        <x:f>IF(AND(ISNUMBER(L34),ISNUMBER(L31),ISNUMBER(L35),ISNUMBER(L38)),L34-L31-L35-L38,"n.a.")</x:f>
        <x:v>85642.99166666667</x:v>
      </x:c>
      <x:c r="M36" s="63" t="n">
        <x:f>IF(AND(ISNUMBER(M34),ISNUMBER(M31),ISNUMBER(M35),ISNUMBER(M38)),M34-M31-M35-M38,"n.a.")</x:f>
        <x:v>80816.01225175941</x:v>
      </x:c>
      <x:c r="N36" s="63" t="n">
        <x:f>IF(AND(ISNUMBER(N34),ISNUMBER(N31),ISNUMBER(N35),ISNUMBER(N38)),N34-N31-N35-N38,"n.a.")</x:f>
        <x:v>80816.01225175941</x:v>
      </x:c>
      <x:c r="O36" s="63" t="n">
        <x:f>IF(AND(ISNUMBER(O34),ISNUMBER(O31),ISNUMBER(O35),ISNUMBER(O38)),O34-O31-O35-O38,"n.a.")</x:f>
        <x:v>80816.01225175941</x:v>
      </x:c>
      <x:c r="P36" s="63" t="n">
        <x:f>IF(AND(ISNUMBER(P34),ISNUMBER(P31),ISNUMBER(P35),ISNUMBER(P38)),P34-P31-P35-P38,"n.a.")</x:f>
        <x:v>80816.01225175941</x:v>
      </x:c>
      <x:c r="Q36" s="63" t="n">
        <x:f>IF(AND(ISNUMBER(Q34),ISNUMBER(Q31),ISNUMBER(Q35),ISNUMBER(Q38)),Q34-Q31-Q35-Q38,"n.a.")</x:f>
        <x:v>80816.01225175941</x:v>
      </x:c>
      <x:c r="R36" s="63" t="n">
        <x:f>IF(AND(ISNUMBER(R34),ISNUMBER(R31),ISNUMBER(R35),ISNUMBER(R38)),R34-R31-R35-R38,"n.a.")</x:f>
        <x:v>80816.01225175941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64" t="n">
        <x:f>IF(AND(ISNUMBER('Assumptions'!$D$22),ISNUMBER(G36)),'Assumptions'!$D$22+G36,"n.a.")</x:f>
        <x:v>167186.29166666666</x:v>
      </x:c>
      <x:c r="H37" s="63" t="n">
        <x:f>IF(AND(ISNUMBER(G37),ISNUMBER(H36)),G37+H36,"n.a.")</x:f>
        <x:v>52372.23333333331</x:v>
      </x:c>
      <x:c r="I37" s="63" t="n">
        <x:f>IF(AND(ISNUMBER(H37),ISNUMBER(I36)),H37+I36,"n.a.")</x:f>
        <x:v>-44442.17500000002</x:v>
      </x:c>
      <x:c r="J37" s="63" t="n">
        <x:f>IF(AND(ISNUMBER(I37),ISNUMBER(J36)),I37+J36,"n.a.")</x:f>
        <x:v>-123256.93333333335</x:v>
      </x:c>
      <x:c r="K37" s="63" t="n">
        <x:f>IF(AND(ISNUMBER(J37),ISNUMBER(K36)),J37+K36,"n.a.")</x:f>
        <x:v>-52585.89166666669</x:v>
      </x:c>
      <x:c r="L37" s="63" t="n">
        <x:f>IF(AND(ISNUMBER(K37),ISNUMBER(L36)),K37+L36,"n.a.")</x:f>
        <x:v>33057.09999999998</x:v>
      </x:c>
      <x:c r="M37" s="63" t="n">
        <x:f>IF(AND(ISNUMBER(L37),ISNUMBER(M36)),L37+M36,"n.a.")</x:f>
        <x:v>113873.11225175939</x:v>
      </x:c>
      <x:c r="N37" s="63" t="n">
        <x:f>IF(AND(ISNUMBER(M37),ISNUMBER(N36)),M37+N36,"n.a.")</x:f>
        <x:v>194689.1245035188</x:v>
      </x:c>
      <x:c r="O37" s="63" t="n">
        <x:f>IF(AND(ISNUMBER(N37),ISNUMBER(O36)),N37+O36,"n.a.")</x:f>
        <x:v>275505.1367552782</x:v>
      </x:c>
      <x:c r="P37" s="63" t="n">
        <x:f>IF(AND(ISNUMBER(O37),ISNUMBER(P36)),O37+P36,"n.a.")</x:f>
        <x:v>356321.14900703763</x:v>
      </x:c>
      <x:c r="Q37" s="63" t="n">
        <x:f>IF(AND(ISNUMBER(P37),ISNUMBER(Q36)),P37+Q36,"n.a.")</x:f>
        <x:v>437137.16125879704</x:v>
      </x:c>
      <x:c r="R37" s="63" t="n">
        <x:f>IF(AND(ISNUMBER(Q37),ISNUMBER(R36)),Q37+R36,"n.a.")</x:f>
        <x:v>517953.17351055646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64" t="n">
        <x:f>IF(AND(ISNUMBER('Assumptions'!$D$40),ISNUMBER(G29),ISNUMBER(G32)),IF(1='Assumptions'!$D$40,G29-G32,0),"n.a.")</x:f>
        <x:v>0</x:v>
      </x:c>
      <x:c r="H38" s="64" t="n">
        <x:f>IF(AND(ISNUMBER('Assumptions'!$D$40),ISNUMBER(H29),ISNUMBER(H32)),IF(2='Assumptions'!$D$40,H29-H32,0),"n.a.")</x:f>
        <x:v>0</x:v>
      </x:c>
      <x:c r="I38" s="64" t="n">
        <x:f>IF(AND(ISNUMBER('Assumptions'!$D$40),ISNUMBER(I29),ISNUMBER(I32)),IF(3='Assumptions'!$D$40,I29-I32,0),"n.a.")</x:f>
        <x:v>0</x:v>
      </x:c>
      <x:c r="J38" s="64" t="n">
        <x:f>IF(AND(ISNUMBER('Assumptions'!$D$40),ISNUMBER(J29),ISNUMBER(J32)),IF(4='Assumptions'!$D$40,J29-J32,0),"n.a.")</x:f>
        <x:v>0</x:v>
      </x:c>
      <x:c r="K38" s="64" t="n">
        <x:f>IF(AND(ISNUMBER('Assumptions'!$D$40),ISNUMBER(K29),ISNUMBER(K32)),IF(5='Assumptions'!$D$40,K29-K32,0),"n.a.")</x:f>
        <x:v>0</x:v>
      </x:c>
      <x:c r="L38" s="64" t="n">
        <x:f>IF(AND(ISNUMBER('Assumptions'!$D$40),ISNUMBER(L29),ISNUMBER(L32)),IF(6='Assumptions'!$D$40,L29-L32,0),"n.a.")</x:f>
        <x:v>0</x:v>
      </x:c>
      <x:c r="M38" s="64" t="n">
        <x:f>IF(AND(ISNUMBER('Assumptions'!$D$40),ISNUMBER(M29),ISNUMBER(M32)),IF(7='Assumptions'!$D$40,M29-M32,0),"n.a.")</x:f>
        <x:v>0</x:v>
      </x:c>
      <x:c r="N38" s="64" t="n">
        <x:f>IF(AND(ISNUMBER('Assumptions'!$D$40),ISNUMBER(N29),ISNUMBER(N32)),IF(8='Assumptions'!$D$40,N29-N32,0),"n.a.")</x:f>
        <x:v>0</x:v>
      </x:c>
      <x:c r="O38" s="64" t="n">
        <x:f>IF(AND(ISNUMBER('Assumptions'!$D$40),ISNUMBER(O29),ISNUMBER(O32)),IF(9='Assumptions'!$D$40,O29-O32,0),"n.a.")</x:f>
        <x:v>0</x:v>
      </x:c>
      <x:c r="P38" s="64" t="n">
        <x:f>IF(AND(ISNUMBER('Assumptions'!$D$40),ISNUMBER(P29),ISNUMBER(P32)),IF(10='Assumptions'!$D$40,P29-P32,0),"n.a.")</x:f>
        <x:v>0</x:v>
      </x:c>
      <x:c r="Q38" s="64" t="n">
        <x:f>IF(AND(ISNUMBER('Assumptions'!$D$40),ISNUMBER(Q29),ISNUMBER(Q32)),IF(11='Assumptions'!$D$40,Q29-Q32,0),"n.a.")</x:f>
        <x:v>0</x:v>
      </x:c>
      <x:c r="R38" s="64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52" t="n">
        <x:f>IF(AND(ISNUMBER(G31),ISNUMBER(R31)),IF(COUNT(G31:R31)=12,SUM(G31:R31),"n.a."),"n.a.")</x:f>
        <x:v>803136.7264894436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5" t="n">
        <x:f>IF(AND(ISNUMBER(D43),ISNUMBER(D9)),IF(D43=0,"n.a.",D9/D43),"n.a.")</x:f>
        <x:v>2.0383701130887313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52" t="n">
        <x:f>IF(AND(ISNUMBER(R33)),R33,"n.a.")</x:f>
        <x:v>10910661.10039179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52" t="n">
        <x:f>IF(AND(ISNUMBER(G37),ISNUMBER(R37)),IF(COUNT(G37:R37)=12,MAX(0,-MIN(G37:R37)),"n.a."),"n.a.")</x:f>
        <x:v>123256.93333333335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52" t="n">
        <x:f>IF(AND(ISNUMBER(D19),ISNUMBER(D46)),D19-D46,"n.a.")</x:f>
        <x:v>3326743.0666666664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52" t="n">
        <x:f>IF(AND(ISNUMBER(R37)),R37,"n.a.")</x:f>
        <x:v>517953.17351055646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4" t="n">
        <x:f>24-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,'Assumptions'!$D$73,'Assumptions'!$D$76,'Assumptions'!$D$79)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4" t="n">
        <x:f>COUNTIFS('Home Delivery and Leasing'!N10:N21,"Missing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4" t="n">
        <x:f>IF(AND(ISNUMBER('Operations'!E24),ISNUMBER('Operations'!E19),ISNUMBER('Operations'!E23)),'Operations'!E24-'Operations'!E19+'Operations'!E23,"n.a.")</x:f>
        <x:v>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4" t="n">
        <x:f>IF(AND(ISNUMBER('Operations'!E26),ISNUMBER('Operations'!E24),ISNUMBER('Operations'!E25)),'Operations'!E26-'Operations'!E24+'Operations'!E25,"n.a.")</x:f>
        <x:v>3.637978807091713e-10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4" t="n">
        <x:f>IF(COUNT('Debt and Funding'!G32:R32)=12,'Debt and Funding'!D14-SUM('Debt and Funding'!G32:R32)-SUM('Debt and Funding'!G38:R38)-'Debt and Funding'!D45,"n.a.")</x:f>
        <x:v>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4" t="n">
        <x:f>IF(COUNT('Debt and Funding'!G34:R36)=36,'Debt and Funding'!R37-'Assumptions'!$D$22-SUM('Debt and Funding'!G34:R34)+SUM('Debt and Funding'!G31:R31)+SUM('Debt and Funding'!G35:R35)+SUM('Debt and Funding'!G38:R38),"n.a.")</x:f>
        <x:v>-2.3283064365386963e-10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4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Deliveries are homes already legally occupiable. They are capped by planned homes.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Leases cannot exceed delivered inventory; requested move-ins above capacity do not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 t="str">
        <x:v>create revenue.</x:v>
      </x:c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Move-outs and move-ins use a midmonth convention. Average opening and closing leases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 t="str">
        <x:v>drive rent; average delivered homes drive unit costs. Fractional homes are planning</x:v>
      </x:c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 t="str">
        <x:v>averages.</x:v>
      </x:c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 t="str">
        <x:v>Collection fraction excludes separately entered concessions. Do not reduce collections</x:v>
      </x:c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 t="str">
        <x:v>for the same concessions twice. Fixed costs exclude the community and delivered-home</x:v>
      </x:c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costs entered in the source schedule.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 t="str">
        <x:v>This is a delivery-to-operating-cash model, not a construction draw or stabilized</x:v>
      </x:c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takeout model. Enter remaining completion cash below NCF, excluding costs already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included in the acquisition price. Debt sizing uses the modeled first year; completion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 t="str">
        <x:v>or quantitative capacity does not establish permanent-loan eligibility.</x:v>
      </x:c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 t="str">
        <x:v>Published by Jaken Finance Group. 833-264-7776 | info@jakenfinancegroup.com.</x:v>
      </x:c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 t="str">
        <x:v>Every numerical assumption is illustrative. No current market quote, legal conclusion or</x:v>
      </x:c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 t="str">
        <x:v>lender eligibility is represented.</x:v>
      </x:c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 t="str">
        <x:v>NCF is a modeled cash measure after cash reserve deposits. An actual lender may adjust</x:v>
      </x:c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 t="str">
        <x:v>income, expenses, reserves, tax and business cash differently.</x:v>
      </x:c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 t="str">
        <x:v>No tax return, appraisal, legal compliance, guaranty capacity or refinancing approval is</x:v>
      </x:c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 t="str">
        <x:v>established by the calculations.</x:v>
      </x:c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 t="str">
        <x:v>Calculation methods and conventions are shown here. Check Review and replace</x:v>
      </x:c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 t="str">
        <x:v>illustrative inputs before relying on results.</x:v>
      </x:c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