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715f8db706489d" /></Relationships>
</file>

<file path=xl/workbook.xml><?xml version="1.0" encoding="utf-8"?>
<x:workbook xmlns:x="http://schemas.openxmlformats.org/spreadsheetml/2006/main">
  <x:sheets>
    <x:sheet xmlns:r="http://schemas.openxmlformats.org/officeDocument/2006/relationships" name="Summary" sheetId="1" r:id="R34c708890809429d"/>
    <x:sheet xmlns:r="http://schemas.openxmlformats.org/officeDocument/2006/relationships" name="Assumptions" sheetId="2" r:id="Re537ef61b61b4b0e"/>
    <x:sheet xmlns:r="http://schemas.openxmlformats.org/officeDocument/2006/relationships" name="Rooms and Enrollment" sheetId="3" r:id="R82e8401fa2d24c94"/>
    <x:sheet xmlns:r="http://schemas.openxmlformats.org/officeDocument/2006/relationships" name="Operations" sheetId="4" r:id="Rf48434097b1545ce"/>
    <x:sheet xmlns:r="http://schemas.openxmlformats.org/officeDocument/2006/relationships" name="Debt and Funding" sheetId="5" r:id="Rd3c531f225cc4349"/>
    <x:sheet xmlns:r="http://schemas.openxmlformats.org/officeDocument/2006/relationships" name="Review" sheetId="6" r:id="R7c7488bb54cf4bce"/>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80dcf67de5348f2" /><Relationship Type="http://schemas.openxmlformats.org/officeDocument/2006/relationships/theme" Target="/xl/theme/theme1.xml" Id="R883d1c0767204faa" /><Relationship Type="http://schemas.openxmlformats.org/officeDocument/2006/relationships/sharedStrings" Target="/xl/sharedStrings.xml" Id="Re32b9c4e7ed04c2b" /><Relationship Type="http://schemas.openxmlformats.org/officeDocument/2006/relationships/worksheet" Target="/xl/worksheets/sheet1.xml" Id="R34c708890809429d" /><Relationship Type="http://schemas.openxmlformats.org/officeDocument/2006/relationships/worksheet" Target="/xl/worksheets/sheet2.xml" Id="Re537ef61b61b4b0e" /><Relationship Type="http://schemas.openxmlformats.org/officeDocument/2006/relationships/worksheet" Target="/xl/worksheets/sheet3.xml" Id="R82e8401fa2d24c94" /><Relationship Type="http://schemas.openxmlformats.org/officeDocument/2006/relationships/worksheet" Target="/xl/worksheets/sheet4.xml" Id="Rf48434097b1545ce" /><Relationship Type="http://schemas.openxmlformats.org/officeDocument/2006/relationships/worksheet" Target="/xl/worksheets/sheet5.xml" Id="Rd3c531f225cc4349" /><Relationship Type="http://schemas.openxmlformats.org/officeDocument/2006/relationships/worksheet" Target="/xl/worksheets/sheet6.xml" Id="R7c7488bb54cf4bc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Childcare center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'Operations'!E20</x:f>
        <x:v>1932293.125</x:v>
      </x:c>
      <x:c r="E10" s="2"/>
      <x:c r="F10" s="2"/>
      <x:c r="G10" s="68" t="n">
        <x:f>'Operations'!G9</x:f>
        <x:v>46388</x:v>
      </x:c>
      <x:c r="H10" s="69" t="n">
        <x:f>'Debt and Funding'!G36</x:f>
        <x:v>19626.458333333336</x:v>
      </x:c>
      <x:c r="I10" s="69" t="n">
        <x:f>'Debt and Funding'!G37</x:f>
        <x:v>169626.45833333334</x:v>
      </x:c>
      <x:c r="J10" s="69" t="n">
        <x:f>'Debt and Funding'!G33</x:f>
        <x:v>2200000</x:v>
      </x:c>
      <x:c r="K10" s="2"/>
      <x:c r="L10" s="2"/>
    </x:row>
    <x:row r="11" ht="21" customHeight="1">
      <x:c r="A11" s="2"/>
      <x:c r="B11" s="2"/>
      <x:c r="C11" s="2" t="str">
        <x:v>Operating and other cash obligations</x:v>
      </x:c>
      <x:c r="D11" s="50" t="n">
        <x:f>'Operations'!E28</x:f>
        <x:v>1529280</x:v>
      </x:c>
      <x:c r="E11" s="2"/>
      <x:c r="F11" s="2"/>
      <x:c r="G11" s="68" t="n">
        <x:f>'Operations'!H9</x:f>
        <x:v>46419</x:v>
      </x:c>
      <x:c r="H11" s="69" t="n">
        <x:f>'Debt and Funding'!H36</x:f>
        <x:v>21853.333333333336</x:v>
      </x:c>
      <x:c r="I11" s="69" t="n">
        <x:f>'Debt and Funding'!H37</x:f>
        <x:v>191479.7916666667</x:v>
      </x:c>
      <x:c r="J11" s="69" t="n">
        <x:f>'Debt and Funding'!H33</x:f>
        <x:v>2200000</x:v>
      </x:c>
      <x:c r="K11" s="2"/>
      <x:c r="L11" s="2"/>
    </x:row>
    <x:row r="12" ht="21" customHeight="1">
      <x:c r="A12" s="2"/>
      <x:c r="B12" s="2"/>
      <x:c r="C12" s="2" t="str">
        <x:v>Combined cash after business obligations</x:v>
      </x:c>
      <x:c r="D12" s="50" t="n">
        <x:f>'Operations'!E29</x:f>
        <x:v>403013.125</x:v>
      </x:c>
      <x:c r="E12" s="2"/>
      <x:c r="F12" s="2"/>
      <x:c r="G12" s="68" t="n">
        <x:f>'Operations'!I9</x:f>
        <x:v>46447</x:v>
      </x:c>
      <x:c r="H12" s="69" t="n">
        <x:f>'Debt and Funding'!I36</x:f>
        <x:v>21853.333333333336</x:v>
      </x:c>
      <x:c r="I12" s="69" t="n">
        <x:f>'Debt and Funding'!I37</x:f>
        <x:v>213333.12500000003</x:v>
      </x:c>
      <x:c r="J12" s="69" t="n">
        <x:f>'Debt and Funding'!I33</x:f>
        <x:v>2200000</x:v>
      </x:c>
      <x:c r="K12" s="2"/>
      <x:c r="L12" s="2"/>
    </x:row>
    <x:row r="13" ht="21" customHeight="1">
      <x:c r="A13" s="2"/>
      <x:c r="B13" s="2"/>
      <x:c r="C13" s="2" t="str">
        <x:v>Annual reserve deposits</x:v>
      </x:c>
      <x:c r="D13" s="50" t="n">
        <x:f>'Operations'!E30</x:f>
        <x:v>0</x:v>
      </x:c>
      <x:c r="E13" s="2"/>
      <x:c r="F13" s="2"/>
      <x:c r="G13" s="68" t="n">
        <x:f>'Operations'!J9</x:f>
        <x:v>46478</x:v>
      </x:c>
      <x:c r="H13" s="69" t="n">
        <x:f>'Debt and Funding'!J36</x:f>
        <x:v>21853.333333333336</x:v>
      </x:c>
      <x:c r="I13" s="69" t="n">
        <x:f>'Debt and Funding'!J37</x:f>
        <x:v>235186.45833333337</x:v>
      </x:c>
      <x:c r="J13" s="69" t="n">
        <x:f>'Debt and Funding'!J33</x:f>
        <x:v>2200000</x:v>
      </x:c>
      <x:c r="K13" s="2"/>
      <x:c r="L13" s="2"/>
    </x:row>
    <x:row r="14" ht="21" customHeight="1">
      <x:c r="A14" s="2"/>
      <x:c r="B14" s="2"/>
      <x:c r="C14" s="2" t="str">
        <x:v>Cash NCF before debt and capital</x:v>
      </x:c>
      <x:c r="D14" s="50" t="n">
        <x:f>'Operations'!E31</x:f>
        <x:v>403013.125</x:v>
      </x:c>
      <x:c r="E14" s="2"/>
      <x:c r="F14" s="2"/>
      <x:c r="G14" s="68" t="n">
        <x:f>'Operations'!K9</x:f>
        <x:v>46508</x:v>
      </x:c>
      <x:c r="H14" s="69" t="n">
        <x:f>'Debt and Funding'!K36</x:f>
        <x:v>21853.333333333336</x:v>
      </x:c>
      <x:c r="I14" s="69" t="n">
        <x:f>'Debt and Funding'!K37</x:f>
        <x:v>257039.79166666672</x:v>
      </x:c>
      <x:c r="J14" s="69" t="n">
        <x:f>'Debt and Funding'!K33</x:f>
        <x:v>2200000</x:v>
      </x:c>
      <x:c r="K14" s="2"/>
      <x:c r="L14" s="2"/>
    </x:row>
    <x:row r="15" ht="21" customHeight="1">
      <x:c r="A15" s="2"/>
      <x:c r="B15" s="2"/>
      <x:c r="C15" s="2" t="str">
        <x:v>Residual cash used for sizing</x:v>
      </x:c>
      <x:c r="D15" s="50" t="n">
        <x:f>'Debt and Funding'!D9</x:f>
        <x:v>403013.125</x:v>
      </x:c>
      <x:c r="E15" s="2"/>
      <x:c r="F15" s="2"/>
      <x:c r="G15" s="68" t="n">
        <x:f>'Operations'!L9</x:f>
        <x:v>46539</x:v>
      </x:c>
      <x:c r="H15" s="69" t="n">
        <x:f>'Debt and Funding'!L36</x:f>
        <x:v>-38146.666666666664</x:v>
      </x:c>
      <x:c r="I15" s="69" t="n">
        <x:f>'Debt and Funding'!L37</x:f>
        <x:v>218893.12500000006</x:v>
      </x:c>
      <x:c r="J15" s="69" t="n">
        <x:f>'Debt and Funding'!L33</x:f>
        <x:v>2200000</x:v>
      </x:c>
      <x:c r="K15" s="2"/>
      <x:c r="L15" s="2"/>
    </x:row>
    <x:row r="16" ht="21" customHeight="1">
      <x:c r="A16" s="2"/>
      <x:c r="B16" s="2"/>
      <x:c r="C16" s="2" t="str">
        <x:v>DSCR loan capacity</x:v>
      </x:c>
      <x:c r="D16" s="50" t="n">
        <x:f>'Debt and Funding'!D11</x:f>
        <x:v>3979155.3177608354</x:v>
      </x:c>
      <x:c r="E16" s="2"/>
      <x:c r="F16" s="2"/>
      <x:c r="G16" s="68" t="n">
        <x:f>'Operations'!M9</x:f>
        <x:v>46569</x:v>
      </x:c>
      <x:c r="H16" s="69" t="n">
        <x:f>'Debt and Funding'!M36</x:f>
        <x:v>18915.442450351882</x:v>
      </x:c>
      <x:c r="I16" s="69" t="n">
        <x:f>'Debt and Funding'!M37</x:f>
        <x:v>237808.56745035195</x:v>
      </x:c>
      <x:c r="J16" s="69" t="n">
        <x:f>'Debt and Funding'!M33</x:f>
        <x:v>2197062.1091170185</x:v>
      </x:c>
      <x:c r="K16" s="2"/>
      <x:c r="L16" s="2"/>
    </x:row>
    <x:row r="17" ht="21" customHeight="1">
      <x:c r="A17" s="2"/>
      <x:c r="B17" s="2"/>
      <x:c r="C17" s="2" t="str">
        <x:v>LTV loan capacity</x:v>
      </x:c>
      <x:c r="D17" s="50" t="n">
        <x:f>'Debt and Funding'!D12</x:f>
        <x:v>2340000</x:v>
      </x:c>
      <x:c r="E17" s="2"/>
      <x:c r="F17" s="2"/>
      <x:c r="G17" s="68" t="n">
        <x:f>'Operations'!N9</x:f>
        <x:v>46600</x:v>
      </x:c>
      <x:c r="H17" s="69" t="n">
        <x:f>'Debt and Funding'!N36</x:f>
        <x:v>18915.442450351882</x:v>
      </x:c>
      <x:c r="I17" s="69" t="n">
        <x:f>'Debt and Funding'!N37</x:f>
        <x:v>256724.00990070385</x:v>
      </x:c>
      <x:c r="J17" s="69" t="n">
        <x:f>'Debt and Funding'!N33</x:f>
        <x:v>2194108.304658421</x:v>
      </x:c>
      <x:c r="K17" s="2"/>
      <x:c r="L17" s="2"/>
    </x:row>
    <x:row r="18" ht="21" customHeight="1">
      <x:c r="A18" s="2"/>
      <x:c r="B18" s="2"/>
      <x:c r="C18" s="2" t="str">
        <x:v>Debt-yield loan capacity</x:v>
      </x:c>
      <x:c r="D18" s="50" t="n">
        <x:f>'Debt and Funding'!D13</x:f>
        <x:v>4477923.611111111</x:v>
      </x:c>
      <x:c r="E18" s="2"/>
      <x:c r="F18" s="2"/>
      <x:c r="G18" s="68" t="n">
        <x:f>'Operations'!O9</x:f>
        <x:v>46631</x:v>
      </x:c>
      <x:c r="H18" s="69" t="n">
        <x:f>'Debt and Funding'!O36</x:f>
        <x:v>18915.442450351882</x:v>
      </x:c>
      <x:c r="I18" s="69" t="n">
        <x:f>'Debt and Funding'!O37</x:f>
        <x:v>275639.45235105575</x:v>
      </x:c>
      <x:c r="J18" s="69" t="n">
        <x:f>'Debt and Funding'!O33</x:f>
        <x:v>2191138.5004256726</x:v>
      </x:c>
      <x:c r="K18" s="2"/>
      <x:c r="L18" s="2"/>
    </x:row>
    <x:row r="19" ht="21" customHeight="1">
      <x:c r="A19" s="2"/>
      <x:c r="B19" s="2"/>
      <x:c r="C19" s="56" t="str">
        <x:v>Sized loan</x:v>
      </x:c>
      <x:c r="D19" s="65" t="n">
        <x:f>'Debt and Funding'!D14</x:f>
        <x:v>2200000</x:v>
      </x:c>
      <x:c r="E19" s="2"/>
      <x:c r="F19" s="2"/>
      <x:c r="G19" s="68" t="n">
        <x:f>'Operations'!P9</x:f>
        <x:v>46661</x:v>
      </x:c>
      <x:c r="H19" s="69" t="n">
        <x:f>'Debt and Funding'!P36</x:f>
        <x:v>18915.442450351882</x:v>
      </x:c>
      <x:c r="I19" s="69" t="n">
        <x:f>'Debt and Funding'!P37</x:f>
        <x:v>294554.89480140764</x:v>
      </x:c>
      <x:c r="J19" s="69" t="n">
        <x:f>'Debt and Funding'!P33</x:f>
        <x:v>2188152.6097533302</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18915.442450351882</x:v>
      </x:c>
      <x:c r="I20" s="69" t="n">
        <x:f>'Debt and Funding'!Q37</x:f>
        <x:v>313470.33725175954</x:v>
      </x:c>
      <x:c r="J20" s="69" t="n">
        <x:f>'Debt and Funding'!Q33</x:f>
        <x:v>2185150.5455065127</x:v>
      </x:c>
      <x:c r="K20" s="2"/>
      <x:c r="L20" s="2"/>
    </x:row>
    <x:row r="21" ht="21" customHeight="1">
      <x:c r="A21" s="2"/>
      <x:c r="B21" s="2"/>
      <x:c r="C21" s="2" t="str">
        <x:v>First-year debt service</x:v>
      </x:c>
      <x:c r="D21" s="50" t="n">
        <x:f>'Debt and Funding'!D43</x:f>
        <x:v>160627.34529788868</x:v>
      </x:c>
      <x:c r="E21" s="2"/>
      <x:c r="F21" s="2"/>
      <x:c r="G21" s="68" t="n">
        <x:f>'Operations'!R9</x:f>
        <x:v>46722</x:v>
      </x:c>
      <x:c r="H21" s="69" t="n">
        <x:f>'Debt and Funding'!R36</x:f>
        <x:v>18915.442450351882</x:v>
      </x:c>
      <x:c r="I21" s="69" t="n">
        <x:f>'Debt and Funding'!R37</x:f>
        <x:v>332385.77970211144</x:v>
      </x:c>
      <x:c r="J21" s="69" t="n">
        <x:f>'Debt and Funding'!R33</x:f>
        <x:v>2182132.2200783584</x:v>
      </x:c>
      <x:c r="K21" s="2"/>
      <x:c r="L21" s="2"/>
    </x:row>
    <x:row r="22" ht="21" customHeight="1">
      <x:c r="A22" s="2"/>
      <x:c r="B22" s="2"/>
      <x:c r="C22" s="2" t="str">
        <x:v>Residual cash / property debt service</x:v>
      </x:c>
      <x:c r="D22" s="67" t="n">
        <x:f>'Debt and Funding'!D44</x:f>
        <x:v>2.5089944943844955</x:v>
      </x:c>
      <x:c r="E22" s="2"/>
      <x:c r="F22" s="2"/>
      <x:c r="G22" s="2"/>
      <x:c r="H22" s="2"/>
      <x:c r="I22" s="2"/>
      <x:c r="J22" s="2"/>
      <x:c r="K22" s="2"/>
      <x:c r="L22" s="2"/>
    </x:row>
    <x:row r="23" ht="21" customHeight="1">
      <x:c r="A23" s="2"/>
      <x:c r="B23" s="2"/>
      <x:c r="C23" s="2" t="str">
        <x:v>Signed closing equity requirement</x:v>
      </x:c>
      <x:c r="D23" s="50" t="n">
        <x:f>'Debt and Funding'!D18</x:f>
        <x:v>1415000</x:v>
      </x:c>
      <x:c r="E23" s="2"/>
      <x:c r="F23" s="2"/>
      <x:c r="G23" s="2"/>
      <x:c r="H23" s="2"/>
      <x:c r="I23" s="2"/>
      <x:c r="J23" s="2"/>
      <x:c r="K23" s="2"/>
      <x:c r="L23" s="2"/>
    </x:row>
    <x:row r="24" ht="21" customHeight="1">
      <x:c r="A24" s="2"/>
      <x:c r="B24" s="2"/>
      <x:c r="C24" s="2" t="str">
        <x:v>Available equity less closing need</x:v>
      </x:c>
      <x:c r="D24" s="50" t="n">
        <x:f>'Debt and Funding'!D19</x:f>
        <x:v>385000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385000</x:v>
      </x:c>
      <x:c r="E26" s="2"/>
      <x:c r="F26" s="2"/>
      <x:c r="G26" s="2"/>
      <x:c r="H26" s="2"/>
      <x:c r="I26" s="2"/>
      <x:c r="J26" s="2"/>
      <x:c r="K26" s="2"/>
      <x:c r="L26" s="2"/>
    </x:row>
    <x:row r="27" ht="21" customHeight="1">
      <x:c r="A27" s="2"/>
      <x:c r="B27" s="2"/>
      <x:c r="C27" s="2" t="str">
        <x:v>Year-end principal</x:v>
      </x:c>
      <x:c r="D27" s="50" t="n">
        <x:f>'Debt and Funding'!D45</x:f>
        <x:v>2182132.2200783584</x:v>
      </x:c>
      <x:c r="E27" s="2"/>
      <x:c r="F27" s="2"/>
      <x:c r="G27" s="2" t="str">
        <x:v>Edit blue cells in Rooms and Enrollment and Assumptions.</x:v>
      </x:c>
      <x:c r="H27" s="2"/>
      <x:c r="I27" s="2"/>
      <x:c r="J27" s="2"/>
      <x:c r="K27" s="2"/>
      <x:c r="L27" s="2"/>
    </x:row>
    <x:row r="28" ht="21" customHeight="1">
      <x:c r="A28" s="2"/>
      <x:c r="B28" s="2"/>
      <x:c r="C28" s="2" t="str">
        <x:v>Principal due at maturity</x:v>
      </x:c>
      <x:c r="D28" s="50" t="n">
        <x:f>'Debt and Funding'!D20</x:f>
        <x:v>2016287.4711548428</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3600000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3600000</x:v>
      </x:c>
      <x:c r="E11" s="2"/>
      <x:c r="F11" s="2"/>
      <x:c r="G11" s="2"/>
      <x:c r="H11" s="2"/>
      <x:c r="I11" s="2"/>
      <x:c r="J11" s="2"/>
    </x:row>
    <x:row r="12" ht="35" customHeight="1">
      <x:c r="A12" s="2"/>
      <x:c r="B12" s="2"/>
      <x:c r="C12" s="28" t="str">
        <x:v>Downside</x:v>
      </x:c>
      <x:c r="D12" s="27" t="n">
        <x:v>3000000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3300000</x:v>
      </x:c>
      <x:c r="E13" s="22" t="str">
        <x:v>USD</x:v>
      </x:c>
      <x:c r="F13" s="2"/>
      <x:c r="G13" s="2"/>
      <x:c r="H13" s="2"/>
      <x:c r="I13" s="2"/>
      <x:c r="J13" s="2"/>
    </x:row>
    <x:row r="14" ht="35" customHeight="1">
      <x:c r="A14" s="2"/>
      <x:c r="B14" s="2"/>
      <x:c r="C14" s="28" t="str">
        <x:v>Base</x:v>
      </x:c>
      <x:c r="D14" s="27" t="n">
        <x:v>3300000</x:v>
      </x:c>
      <x:c r="E14" s="2"/>
      <x:c r="F14" s="2"/>
      <x:c r="G14" s="42" t="str">
        <x:v>Downside inputs feed the same model. Change D5 to recalculate.</x:v>
      </x:c>
      <x:c r="H14" s="2"/>
      <x:c r="I14" s="2"/>
      <x:c r="J14" s="2"/>
    </x:row>
    <x:row r="15" ht="21" customHeight="1">
      <x:c r="A15" s="2"/>
      <x:c r="B15" s="2"/>
      <x:c r="C15" s="28" t="str">
        <x:v>Downside</x:v>
      </x:c>
      <x:c r="D15" s="27" t="n">
        <x:v>3300000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99000</x:v>
      </x:c>
      <x:c r="E16" s="22" t="str">
        <x:v>USD</x:v>
      </x:c>
      <x:c r="F16" s="2"/>
      <x:c r="G16" s="42" t="str">
        <x:v>NCF adjustment changes sizing only, not cash actually available.</x:v>
      </x:c>
      <x:c r="H16" s="2"/>
      <x:c r="I16" s="2"/>
      <x:c r="J16" s="2"/>
    </x:row>
    <x:row r="17" ht="21" customHeight="1">
      <x:c r="A17" s="2"/>
      <x:c r="B17" s="2"/>
      <x:c r="C17" s="28" t="str">
        <x:v>Base</x:v>
      </x:c>
      <x:c r="D17" s="27" t="n">
        <x:v>99000</x:v>
      </x:c>
      <x:c r="E17" s="2"/>
      <x:c r="F17" s="2"/>
      <x:c r="G17" s="2"/>
      <x:c r="H17" s="2"/>
      <x:c r="I17" s="2"/>
      <x:c r="J17" s="2"/>
    </x:row>
    <x:row r="18" ht="35" customHeight="1">
      <x:c r="A18" s="2"/>
      <x:c r="B18" s="2"/>
      <x:c r="C18" s="28" t="str">
        <x:v>Downside</x:v>
      </x:c>
      <x:c r="D18" s="27" t="n">
        <x:v>99000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66000</x:v>
      </x:c>
      <x:c r="E19" s="22" t="str">
        <x:v>USD</x:v>
      </x:c>
      <x:c r="F19" s="2"/>
      <x:c r="G19" s="2"/>
      <x:c r="H19" s="2"/>
      <x:c r="I19" s="2"/>
      <x:c r="J19" s="2"/>
    </x:row>
    <x:row r="20" ht="35" customHeight="1">
      <x:c r="A20" s="2"/>
      <x:c r="B20" s="2"/>
      <x:c r="C20" s="28" t="str">
        <x:v>Base</x:v>
      </x:c>
      <x:c r="D20" s="27" t="n">
        <x:v>66000</x:v>
      </x:c>
      <x:c r="E20" s="2"/>
      <x:c r="F20" s="2"/>
      <x:c r="G20" s="42" t="str">
        <x:v>Restricted closing reserves are not available operating cash.</x:v>
      </x:c>
      <x:c r="H20" s="2"/>
      <x:c r="I20" s="2"/>
      <x:c r="J20" s="2"/>
    </x:row>
    <x:row r="21" ht="21" customHeight="1">
      <x:c r="A21" s="2"/>
      <x:c r="B21" s="2"/>
      <x:c r="C21" s="28" t="str">
        <x:v>Downside</x:v>
      </x:c>
      <x:c r="D21" s="27" t="n">
        <x:v>66000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1800000</x:v>
      </x:c>
      <x:c r="E25" s="22" t="str">
        <x:v>USD</x:v>
      </x:c>
      <x:c r="F25" s="2"/>
      <x:c r="G25" s="2"/>
      <x:c r="H25" s="2"/>
      <x:c r="I25" s="2"/>
      <x:c r="J25" s="2"/>
    </x:row>
    <x:row r="26" ht="21" customHeight="1">
      <x:c r="A26" s="2"/>
      <x:c r="B26" s="2"/>
      <x:c r="C26" s="28" t="str">
        <x:v>Base</x:v>
      </x:c>
      <x:c r="D26" s="27" t="n">
        <x:v>1800000</x:v>
      </x:c>
      <x:c r="E26" s="2"/>
      <x:c r="F26" s="2"/>
      <x:c r="G26" s="2"/>
      <x:c r="H26" s="2"/>
      <x:c r="I26" s="2"/>
      <x:c r="J26" s="2"/>
    </x:row>
    <x:row r="27" ht="21" customHeight="1">
      <x:c r="A27" s="2"/>
      <x:c r="B27" s="2"/>
      <x:c r="C27" s="28" t="str">
        <x:v>Downside</x:v>
      </x:c>
      <x:c r="D27" s="27" t="n">
        <x:v>1800000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2200000</x:v>
      </x:c>
      <x:c r="E28" s="22" t="str">
        <x:v>USD</x:v>
      </x:c>
      <x:c r="F28" s="2"/>
      <x:c r="G28" s="2"/>
      <x:c r="H28" s="2"/>
      <x:c r="I28" s="2"/>
      <x:c r="J28" s="2"/>
    </x:row>
    <x:row r="29" ht="21" customHeight="1">
      <x:c r="A29" s="2"/>
      <x:c r="B29" s="2"/>
      <x:c r="C29" s="28" t="str">
        <x:v>Base</x:v>
      </x:c>
      <x:c r="D29" s="27" t="n">
        <x:v>2200000</x:v>
      </x:c>
      <x:c r="E29" s="2"/>
      <x:c r="F29" s="2"/>
      <x:c r="G29" s="2"/>
      <x:c r="H29" s="2"/>
      <x:c r="I29" s="2"/>
      <x:c r="J29" s="2"/>
    </x:row>
    <x:row r="30" ht="75" customHeight="1">
      <x:c r="A30" s="2"/>
      <x:c r="B30" s="2"/>
      <x:c r="C30" s="28" t="str">
        <x:v>Downside</x:v>
      </x:c>
      <x:c r="D30" s="27" t="n">
        <x:v>2200000</x:v>
      </x:c>
      <x:c r="E30" s="2"/>
      <x:c r="F30" s="2"/>
      <x:c r="G30" s="42" t="str">
        <x:v>Usable places and child-to-teacher ratios are user-entered planning constraints, not licensing determinations or national standards. Teacher FTE rounds each modeled age group up and applies the entered shift/break coverage factor. Actual room-level staffing may require more.</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Tuition realization covers discounts and noncollection. Private-pay tuition collects currently; the uncollected subsidy portion pays next month. Opening subsidy AR collects in month 1. Do not deduct receivables again as working capital.</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Combined cash is an operating-business and property measure, not property NOI. Other business debt, taxes/distributions and maintenance capital are deducted once before the residual property-debt proxy.</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Related-party rent is shown and eliminated. External property costs exclude mortgage debt and must not also appear in business operating inputs. No intercompany transfer permission is established.</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Maintenance capital is deducted before sizing. Additional expansion/property capital is deducted below residual cash. Do not enter the same cost in both places.</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All amounts are fictional. Residual coverage, value and cash tests do not establish bank DSCR, program eligibility, business value or a loan commitment.</x:v>
      </x:c>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Entered infants / teacher</x:v>
      </x:c>
      <x:c r="D88" s="37" t="n">
        <x:f>IF($D$5=1,IF(ISNUMBER(D89),IF(AND(D89&gt;=0.01,D89&lt;=100),D89,"n.a."),"n.a."),IF($D$5=2,IF(ISNUMBER(D90),IF(AND(D90&gt;=0.01,D90&lt;=100),D90,"n.a."),"n.a."),"n.a."))</x:f>
        <x:v>4</x:v>
      </x:c>
      <x:c r="E88" s="22" t="str">
        <x:v>children/FTE</x:v>
      </x:c>
      <x:c r="F88" s="2"/>
      <x:c r="G88" s="2"/>
      <x:c r="H88" s="2"/>
      <x:c r="I88" s="2"/>
      <x:c r="J88" s="2"/>
    </x:row>
    <x:row r="89" ht="21" customHeight="1">
      <x:c r="A89" s="2"/>
      <x:c r="B89" s="2"/>
      <x:c r="C89" s="28" t="str">
        <x:v>Base</x:v>
      </x:c>
      <x:c r="D89" s="16" t="n">
        <x:v>4</x:v>
      </x:c>
      <x:c r="E89" s="2"/>
      <x:c r="F89" s="2"/>
      <x:c r="G89" s="2"/>
      <x:c r="H89" s="2"/>
      <x:c r="I89" s="2"/>
      <x:c r="J89" s="2"/>
    </x:row>
    <x:row r="90" ht="21" customHeight="1">
      <x:c r="A90" s="2"/>
      <x:c r="B90" s="2"/>
      <x:c r="C90" s="28" t="str">
        <x:v>Downside</x:v>
      </x:c>
      <x:c r="D90" s="16" t="n">
        <x:v>4</x:v>
      </x:c>
      <x:c r="E90" s="2"/>
      <x:c r="F90" s="2"/>
      <x:c r="G90" s="2"/>
      <x:c r="H90" s="2"/>
      <x:c r="I90" s="2"/>
      <x:c r="J90" s="2"/>
    </x:row>
    <x:row r="91" ht="21" customHeight="1">
      <x:c r="A91" s="2"/>
      <x:c r="B91" s="2"/>
      <x:c r="C91" s="24" t="str">
        <x:v>Entered older children / teacher</x:v>
      </x:c>
      <x:c r="D91" s="37" t="n">
        <x:f>IF($D$5=1,IF(ISNUMBER(D92),IF(AND(D92&gt;=0.01,D92&lt;=100),D92,"n.a."),"n.a."),IF($D$5=2,IF(ISNUMBER(D93),IF(AND(D93&gt;=0.01,D93&lt;=100),D93,"n.a."),"n.a."),"n.a."))</x:f>
        <x:v>10</x:v>
      </x:c>
      <x:c r="E91" s="22" t="str">
        <x:v>children/FTE</x:v>
      </x:c>
      <x:c r="F91" s="2"/>
      <x:c r="G91" s="2"/>
      <x:c r="H91" s="2"/>
      <x:c r="I91" s="2"/>
      <x:c r="J91" s="2"/>
    </x:row>
    <x:row r="92" ht="21" customHeight="1">
      <x:c r="A92" s="2"/>
      <x:c r="B92" s="2"/>
      <x:c r="C92" s="28" t="str">
        <x:v>Base</x:v>
      </x:c>
      <x:c r="D92" s="16" t="n">
        <x:v>10</x:v>
      </x:c>
      <x:c r="E92" s="2"/>
      <x:c r="F92" s="2"/>
      <x:c r="G92" s="2"/>
      <x:c r="H92" s="2"/>
      <x:c r="I92" s="2"/>
      <x:c r="J92" s="2"/>
    </x:row>
    <x:row r="93" ht="21" customHeight="1">
      <x:c r="A93" s="2"/>
      <x:c r="B93" s="2"/>
      <x:c r="C93" s="28" t="str">
        <x:v>Downside</x:v>
      </x:c>
      <x:c r="D93" s="16" t="n">
        <x:v>10</x:v>
      </x:c>
      <x:c r="E93" s="2"/>
      <x:c r="F93" s="2"/>
      <x:c r="G93" s="2"/>
      <x:c r="H93" s="2"/>
      <x:c r="I93" s="2"/>
      <x:c r="J93" s="2"/>
    </x:row>
    <x:row r="94" ht="21" customHeight="1">
      <x:c r="A94" s="2"/>
      <x:c r="B94" s="2"/>
      <x:c r="C94" s="31" t="str">
        <x:v>Staff shift/break coverage factor</x:v>
      </x:c>
      <x:c r="D94" s="40" t="n">
        <x:f>IF($D$5=1,IF(ISNUMBER(D95),IF(AND(D95&gt;=1,D95&lt;=5),D95,"n.a."),"n.a."),IF($D$5=2,IF(ISNUMBER(D96),IF(AND(D96&gt;=1,D96&lt;=5),D96,"n.a."),"n.a."),"n.a."))</x:f>
        <x:v>1.15</x:v>
      </x:c>
      <x:c r="E94" s="33" t="str">
        <x:v>x</x:v>
      </x:c>
      <x:c r="F94" s="2"/>
      <x:c r="G94" s="2"/>
      <x:c r="H94" s="2"/>
      <x:c r="I94" s="2"/>
      <x:c r="J94" s="2"/>
    </x:row>
    <x:row r="95" ht="21" customHeight="1">
      <x:c r="A95" s="2"/>
      <x:c r="B95" s="2"/>
      <x:c r="C95" s="34" t="str">
        <x:v>Base</x:v>
      </x:c>
      <x:c r="D95" s="41" t="n">
        <x:v>1.15</x:v>
      </x:c>
      <x:c r="E95" s="36"/>
      <x:c r="F95" s="2"/>
      <x:c r="G95" s="2"/>
      <x:c r="H95" s="2"/>
      <x:c r="I95" s="2"/>
      <x:c r="J95" s="2"/>
    </x:row>
    <x:row r="96" ht="21" customHeight="1">
      <x:c r="A96" s="2"/>
      <x:c r="B96" s="2"/>
      <x:c r="C96" s="34" t="str">
        <x:v>Downside</x:v>
      </x:c>
      <x:c r="D96" s="41" t="n">
        <x:v>1.25</x:v>
      </x:c>
      <x:c r="E96" s="36"/>
      <x:c r="F96" s="2"/>
      <x:c r="G96" s="2"/>
      <x:c r="H96" s="2"/>
      <x:c r="I96" s="2"/>
      <x:c r="J96" s="2"/>
    </x:row>
    <x:row r="97" ht="21" customHeight="1">
      <x:c r="A97" s="2"/>
      <x:c r="B97" s="2"/>
      <x:c r="C97" s="31" t="str">
        <x:v>Tuition realization</x:v>
      </x:c>
      <x:c r="D97" s="32" t="n">
        <x:f>IF($D$5=1,IF(ISNUMBER(D98),IF(AND(D98&gt;=0,D98&lt;=1),D98,"n.a."),"n.a."),IF($D$5=2,IF(ISNUMBER(D99),IF(AND(D99&gt;=0,D99&lt;=1),D99,"n.a."),"n.a."),"n.a."))</x:f>
        <x:v>0.98</x:v>
      </x:c>
      <x:c r="E97" s="33" t="str">
        <x:v>%</x:v>
      </x:c>
      <x:c r="F97" s="2"/>
      <x:c r="G97" s="2"/>
      <x:c r="H97" s="2"/>
      <x:c r="I97" s="2"/>
      <x:c r="J97" s="2"/>
    </x:row>
    <x:row r="98" ht="21" customHeight="1">
      <x:c r="A98" s="2"/>
      <x:c r="B98" s="2"/>
      <x:c r="C98" s="34" t="str">
        <x:v>Base</x:v>
      </x:c>
      <x:c r="D98" s="35" t="n">
        <x:v>0.98</x:v>
      </x:c>
      <x:c r="E98" s="36"/>
      <x:c r="F98" s="2"/>
      <x:c r="G98" s="2"/>
      <x:c r="H98" s="2"/>
      <x:c r="I98" s="2"/>
      <x:c r="J98" s="2"/>
    </x:row>
    <x:row r="99" ht="21" customHeight="1">
      <x:c r="A99" s="2"/>
      <x:c r="B99" s="2"/>
      <x:c r="C99" s="34" t="str">
        <x:v>Downside</x:v>
      </x:c>
      <x:c r="D99" s="35" t="n">
        <x:v>0.94</x:v>
      </x:c>
      <x:c r="E99" s="36"/>
      <x:c r="F99" s="2"/>
      <x:c r="G99" s="2"/>
      <x:c r="H99" s="2"/>
      <x:c r="I99" s="2"/>
      <x:c r="J99" s="2"/>
    </x:row>
    <x:row r="100" ht="21" customHeight="1">
      <x:c r="A100" s="2"/>
      <x:c r="B100" s="2"/>
      <x:c r="C100" s="31" t="str">
        <x:v>Subsidy collected currently</x:v>
      </x:c>
      <x:c r="D100" s="32" t="n">
        <x:f>IF($D$5=1,IF(ISNUMBER(D101),IF(AND(D101&gt;=0,D101&lt;=1),D101,"n.a."),"n.a."),IF($D$5=2,IF(ISNUMBER(D102),IF(AND(D102&gt;=0,D102&lt;=1),D102,"n.a."),"n.a."),"n.a."))</x:f>
        <x:v>0.25</x:v>
      </x:c>
      <x:c r="E100" s="33" t="str">
        <x:v>%</x:v>
      </x:c>
      <x:c r="F100" s="2"/>
      <x:c r="G100" s="2"/>
      <x:c r="H100" s="2"/>
      <x:c r="I100" s="2"/>
      <x:c r="J100" s="2"/>
    </x:row>
    <x:row r="101" ht="21" customHeight="1">
      <x:c r="A101" s="2"/>
      <x:c r="B101" s="2"/>
      <x:c r="C101" s="34" t="str">
        <x:v>Base</x:v>
      </x:c>
      <x:c r="D101" s="35" t="n">
        <x:v>0.25</x:v>
      </x:c>
      <x:c r="E101" s="36"/>
      <x:c r="F101" s="2"/>
      <x:c r="G101" s="2"/>
      <x:c r="H101" s="2"/>
      <x:c r="I101" s="2"/>
      <x:c r="J101" s="2"/>
    </x:row>
    <x:row r="102" ht="21" customHeight="1">
      <x:c r="A102" s="2"/>
      <x:c r="B102" s="2"/>
      <x:c r="C102" s="34" t="str">
        <x:v>Downside</x:v>
      </x:c>
      <x:c r="D102" s="35" t="n">
        <x:v>0.1</x:v>
      </x:c>
      <x:c r="E102" s="36"/>
      <x:c r="F102" s="2"/>
      <x:c r="G102" s="2"/>
      <x:c r="H102" s="2"/>
      <x:c r="I102" s="2"/>
      <x:c r="J102" s="2"/>
    </x:row>
    <x:row r="103" ht="21" customHeight="1">
      <x:c r="A103" s="2"/>
      <x:c r="B103" s="2"/>
      <x:c r="C103" s="24" t="str">
        <x:v>Opening subsidy AR due in month 1</x:v>
      </x:c>
      <x:c r="D103" s="26" t="n">
        <x:f>IF($D$5=1,IF(ISNUMBER(D104),IF(AND(D104&gt;=0,D104&lt;=1000000000000),D104,"n.a."),"n.a."),IF($D$5=2,IF(ISNUMBER(D105),IF(AND(D105&gt;=0,D105&lt;=1000000000000),D105,"n.a."),"n.a."),"n.a."))</x:f>
        <x:v>28000</x:v>
      </x:c>
      <x:c r="E103" s="22" t="str">
        <x:v>USD</x:v>
      </x:c>
      <x:c r="F103" s="2"/>
      <x:c r="G103" s="2"/>
      <x:c r="H103" s="2"/>
      <x:c r="I103" s="2"/>
      <x:c r="J103" s="2"/>
    </x:row>
    <x:row r="104" ht="21" customHeight="1">
      <x:c r="A104" s="2"/>
      <x:c r="B104" s="2"/>
      <x:c r="C104" s="28" t="str">
        <x:v>Base</x:v>
      </x:c>
      <x:c r="D104" s="27" t="n">
        <x:v>28000</x:v>
      </x:c>
      <x:c r="E104" s="2"/>
      <x:c r="F104" s="2"/>
      <x:c r="G104" s="2"/>
      <x:c r="H104" s="2"/>
      <x:c r="I104" s="2"/>
      <x:c r="J104" s="2"/>
    </x:row>
    <x:row r="105" ht="21" customHeight="1">
      <x:c r="A105" s="2"/>
      <x:c r="B105" s="2"/>
      <x:c r="C105" s="28" t="str">
        <x:v>Downside</x:v>
      </x:c>
      <x:c r="D105" s="27" t="n">
        <x:v>28000</x:v>
      </x:c>
      <x:c r="E105" s="2"/>
      <x:c r="F105" s="2"/>
      <x:c r="G105" s="2"/>
      <x:c r="H105" s="2"/>
      <x:c r="I105" s="2"/>
      <x:c r="J105" s="2"/>
    </x:row>
    <x:row r="106" ht="21" customHeight="1">
      <x:c r="A106" s="2"/>
      <x:c r="B106" s="2"/>
      <x:c r="C106" s="2"/>
      <x:c r="D106" s="2"/>
      <x:c r="E106" s="2"/>
      <x:c r="F106" s="2"/>
      <x:c r="G106" s="2"/>
      <x:c r="H106" s="2"/>
      <x:c r="I106" s="2"/>
      <x:c r="J106" s="2"/>
    </x:row>
    <x:row r="107" ht="21" customHeight="1">
      <x:c r="A107" s="2"/>
      <x:c r="B107" s="2"/>
      <x:c r="C107" s="2"/>
      <x:c r="D107" s="2"/>
      <x:c r="E107" s="2"/>
      <x:c r="F107" s="2"/>
      <x:c r="G107" s="2"/>
      <x:c r="H107" s="2"/>
      <x:c r="I107" s="2"/>
      <x:c r="J107" s="2"/>
    </x:row>
    <x:row r="108" ht="21" customHeight="1">
      <x:c r="A108" s="2"/>
      <x:c r="B108" s="2"/>
      <x:c r="C108" s="2"/>
      <x:c r="D108" s="2"/>
      <x:c r="E108" s="2"/>
      <x:c r="F108" s="2"/>
      <x:c r="G108" s="2"/>
      <x:c r="H108" s="2"/>
      <x:c r="I108" s="2"/>
      <x:c r="J108" s="2"/>
    </x:row>
    <x:row r="109" ht="21" customHeight="1">
      <x:c r="A109" s="2"/>
      <x:c r="B109" s="2"/>
      <x:c r="C109" s="2"/>
      <x:c r="D109" s="2"/>
      <x:c r="E109" s="2"/>
      <x:c r="F109" s="2"/>
      <x:c r="G109" s="2"/>
      <x:c r="H109" s="2"/>
      <x:c r="I109" s="2"/>
      <x:c r="J109" s="2"/>
    </x:row>
    <x:row r="110" ht="21" customHeight="1">
      <x:c r="A110" s="2"/>
      <x:c r="B110" s="2"/>
      <x:c r="C110" s="2"/>
      <x:c r="D110" s="2"/>
      <x:c r="E110" s="2"/>
      <x:c r="F110" s="2"/>
      <x:c r="G110" s="2"/>
      <x:c r="H110" s="2"/>
      <x:c r="I110" s="2"/>
      <x:c r="J110" s="2"/>
    </x:row>
    <x:row r="111" ht="21" customHeight="1">
      <x:c r="A111" s="2"/>
      <x:c r="B111" s="2"/>
      <x:c r="C111" s="2"/>
      <x:c r="D111" s="2"/>
      <x:c r="E111" s="2"/>
      <x:c r="F111" s="2"/>
      <x:c r="G111" s="2"/>
      <x:c r="H111" s="2"/>
      <x:c r="I111" s="2"/>
      <x:c r="J111" s="2"/>
    </x:row>
  </x:sheetData>
  <x:dataValidations count="66">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0.01</x:formula1>
      <x:formula2>100</x:formula2>
    </x:dataValidation>
    <x:dataValidation type="decimal" operator="between" sqref="D90">
      <x:formula1>0.01</x:formula1>
      <x:formula2>100</x:formula2>
    </x:dataValidation>
    <x:dataValidation type="decimal" operator="between" sqref="D92">
      <x:formula1>0.01</x:formula1>
      <x:formula2>100</x:formula2>
    </x:dataValidation>
    <x:dataValidation type="decimal" operator="between" sqref="D93">
      <x:formula1>0.01</x:formula1>
      <x:formula2>100</x:formula2>
    </x:dataValidation>
    <x:dataValidation type="decimal" operator="between" sqref="D95">
      <x:formula1>1</x:formula1>
      <x:formula2>5</x:formula2>
    </x:dataValidation>
    <x:dataValidation type="decimal" operator="between" sqref="D96">
      <x:formula1>1</x:formula1>
      <x:formula2>5</x:formula2>
    </x:dataValidation>
    <x:dataValidation type="decimal" operator="between" sqref="D98">
      <x:formula1>0</x:formula1>
      <x:formula2>1</x:formula2>
    </x:dataValidation>
    <x:dataValidation type="decimal" operator="between" sqref="D99">
      <x:formula1>0</x:formula1>
      <x:formula2>1</x:formula2>
    </x:dataValidation>
    <x:dataValidation type="decimal" operator="between" sqref="D101">
      <x:formula1>0</x:formula1>
      <x:formula2>1</x:formula2>
    </x:dataValidation>
    <x:dataValidation type="decimal" operator="between" sqref="D102">
      <x:formula1>0</x:formula1>
      <x:formula2>1</x:formula2>
    </x:dataValidation>
    <x:dataValidation type="decimal" operator="between" sqref="D104">
      <x:formula1>0</x:formula1>
      <x:formula2>1000000000000</x:formula2>
    </x:dataValidation>
    <x:dataValidation type="decimal" operator="between" sqref="D105">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Rooms and Enrollment</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Infant usable places</x:v>
      </x:c>
      <x:c r="E9" s="21" t="str">
        <x:v>Infant enrollment demand</x:v>
      </x:c>
      <x:c r="F9" s="21" t="str">
        <x:v>Infant monthly tuition</x:v>
      </x:c>
      <x:c r="G9" s="21" t="str">
        <x:v>Older-child usable places</x:v>
      </x:c>
      <x:c r="H9" s="21" t="str">
        <x:v>Older-child enrollment demand</x:v>
      </x:c>
      <x:c r="I9" s="21" t="str">
        <x:v>Older-child monthly tuition</x:v>
      </x:c>
      <x:c r="J9" s="21" t="str">
        <x:v>Monthly cash cost / teacher FTE</x:v>
      </x:c>
      <x:c r="K9" s="21" t="str">
        <x:v>Other center payroll/opex</x:v>
      </x:c>
      <x:c r="L9" s="21" t="str">
        <x:v>Subsidy share of tuition</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40</x:v>
      </x:c>
      <x:c r="E10" s="16" t="n">
        <x:v>44</x:v>
      </x:c>
      <x:c r="F10" s="27" t="n">
        <x:v>1800</x:v>
      </x:c>
      <x:c r="G10" s="16" t="n">
        <x:v>80</x:v>
      </x:c>
      <x:c r="H10" s="16" t="n">
        <x:v>74</x:v>
      </x:c>
      <x:c r="I10" s="27" t="n">
        <x:v>1250</x:v>
      </x:c>
      <x:c r="J10" s="27" t="n">
        <x:v>4200</x:v>
      </x:c>
      <x:c r="K10" s="27" t="n">
        <x:v>24000</x:v>
      </x:c>
      <x:c r="L10" s="30" t="n">
        <x:v>0.25</x:v>
      </x:c>
      <x:c r="M10" s="27" t="n">
        <x:v>0</x:v>
      </x:c>
      <x:c r="N10" s="13" t="str">
        <x:f>IF(AND(IF(ISNUMBER(D10),AND(D10&gt;=0,D10&lt;=1000000000000),FALSE),IF(ISNUMBER(E10),AND(E10&gt;=0,E10&lt;=1000000000000),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40</x:v>
      </x:c>
      <x:c r="E11" s="16" t="n">
        <x:v>44</x:v>
      </x:c>
      <x:c r="F11" s="27" t="n">
        <x:v>1800</x:v>
      </x:c>
      <x:c r="G11" s="16" t="n">
        <x:v>80</x:v>
      </x:c>
      <x:c r="H11" s="16" t="n">
        <x:v>74</x:v>
      </x:c>
      <x:c r="I11" s="27" t="n">
        <x:v>1250</x:v>
      </x:c>
      <x:c r="J11" s="27" t="n">
        <x:v>4200</x:v>
      </x:c>
      <x:c r="K11" s="27" t="n">
        <x:v>24000</x:v>
      </x:c>
      <x:c r="L11" s="30" t="n">
        <x:v>0.25</x:v>
      </x:c>
      <x:c r="M11" s="27" t="n">
        <x:v>0</x:v>
      </x:c>
      <x:c r="N11" s="13" t="str">
        <x:f>IF(AND(IF(ISNUMBER(D11),AND(D11&gt;=0,D11&lt;=1000000000000),FALSE),IF(ISNUMBER(E11),AND(E11&gt;=0,E11&lt;=1000000000000),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40</x:v>
      </x:c>
      <x:c r="E12" s="16" t="n">
        <x:v>44</x:v>
      </x:c>
      <x:c r="F12" s="27" t="n">
        <x:v>1800</x:v>
      </x:c>
      <x:c r="G12" s="16" t="n">
        <x:v>80</x:v>
      </x:c>
      <x:c r="H12" s="16" t="n">
        <x:v>74</x:v>
      </x:c>
      <x:c r="I12" s="27" t="n">
        <x:v>1250</x:v>
      </x:c>
      <x:c r="J12" s="27" t="n">
        <x:v>4200</x:v>
      </x:c>
      <x:c r="K12" s="27" t="n">
        <x:v>24000</x:v>
      </x:c>
      <x:c r="L12" s="30" t="n">
        <x:v>0.25</x:v>
      </x:c>
      <x:c r="M12" s="27" t="n">
        <x:v>0</x:v>
      </x:c>
      <x:c r="N12" s="13" t="str">
        <x:f>IF(AND(IF(ISNUMBER(D12),AND(D12&gt;=0,D12&lt;=1000000000000),FALSE),IF(ISNUMBER(E12),AND(E12&gt;=0,E12&lt;=1000000000000),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40</x:v>
      </x:c>
      <x:c r="E13" s="16" t="n">
        <x:v>44</x:v>
      </x:c>
      <x:c r="F13" s="27" t="n">
        <x:v>1800</x:v>
      </x:c>
      <x:c r="G13" s="16" t="n">
        <x:v>80</x:v>
      </x:c>
      <x:c r="H13" s="16" t="n">
        <x:v>74</x:v>
      </x:c>
      <x:c r="I13" s="27" t="n">
        <x:v>1250</x:v>
      </x:c>
      <x:c r="J13" s="27" t="n">
        <x:v>4200</x:v>
      </x:c>
      <x:c r="K13" s="27" t="n">
        <x:v>24000</x:v>
      </x:c>
      <x:c r="L13" s="30" t="n">
        <x:v>0.25</x:v>
      </x:c>
      <x:c r="M13" s="27" t="n">
        <x:v>0</x:v>
      </x:c>
      <x:c r="N13" s="13" t="str">
        <x:f>IF(AND(IF(ISNUMBER(D13),AND(D13&gt;=0,D13&lt;=1000000000000),FALSE),IF(ISNUMBER(E13),AND(E13&gt;=0,E13&lt;=1000000000000),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40</x:v>
      </x:c>
      <x:c r="E14" s="16" t="n">
        <x:v>44</x:v>
      </x:c>
      <x:c r="F14" s="27" t="n">
        <x:v>1800</x:v>
      </x:c>
      <x:c r="G14" s="16" t="n">
        <x:v>80</x:v>
      </x:c>
      <x:c r="H14" s="16" t="n">
        <x:v>74</x:v>
      </x:c>
      <x:c r="I14" s="27" t="n">
        <x:v>1250</x:v>
      </x:c>
      <x:c r="J14" s="27" t="n">
        <x:v>4200</x:v>
      </x:c>
      <x:c r="K14" s="27" t="n">
        <x:v>24000</x:v>
      </x:c>
      <x:c r="L14" s="30" t="n">
        <x:v>0.25</x:v>
      </x:c>
      <x:c r="M14" s="27" t="n">
        <x:v>0</x:v>
      </x:c>
      <x:c r="N14" s="13" t="str">
        <x:f>IF(AND(IF(ISNUMBER(D14),AND(D14&gt;=0,D14&lt;=1000000000000),FALSE),IF(ISNUMBER(E14),AND(E14&gt;=0,E14&lt;=1000000000000),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40</x:v>
      </x:c>
      <x:c r="E15" s="16" t="n">
        <x:v>44</x:v>
      </x:c>
      <x:c r="F15" s="27" t="n">
        <x:v>1800</x:v>
      </x:c>
      <x:c r="G15" s="16" t="n">
        <x:v>80</x:v>
      </x:c>
      <x:c r="H15" s="16" t="n">
        <x:v>74</x:v>
      </x:c>
      <x:c r="I15" s="27" t="n">
        <x:v>1250</x:v>
      </x:c>
      <x:c r="J15" s="27" t="n">
        <x:v>4200</x:v>
      </x:c>
      <x:c r="K15" s="27" t="n">
        <x:v>24000</x:v>
      </x:c>
      <x:c r="L15" s="30" t="n">
        <x:v>0.25</x:v>
      </x:c>
      <x:c r="M15" s="27" t="n">
        <x:v>60000</x:v>
      </x:c>
      <x:c r="N15" s="13" t="str">
        <x:f>IF(AND(IF(ISNUMBER(D15),AND(D15&gt;=0,D15&lt;=1000000000000),FALSE),IF(ISNUMBER(E15),AND(E15&gt;=0,E15&lt;=1000000000000),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40</x:v>
      </x:c>
      <x:c r="E16" s="16" t="n">
        <x:v>44</x:v>
      </x:c>
      <x:c r="F16" s="27" t="n">
        <x:v>1800</x:v>
      </x:c>
      <x:c r="G16" s="16" t="n">
        <x:v>80</x:v>
      </x:c>
      <x:c r="H16" s="16" t="n">
        <x:v>74</x:v>
      </x:c>
      <x:c r="I16" s="27" t="n">
        <x:v>1250</x:v>
      </x:c>
      <x:c r="J16" s="27" t="n">
        <x:v>4200</x:v>
      </x:c>
      <x:c r="K16" s="27" t="n">
        <x:v>24000</x:v>
      </x:c>
      <x:c r="L16" s="30" t="n">
        <x:v>0.25</x:v>
      </x:c>
      <x:c r="M16" s="27" t="n">
        <x:v>0</x:v>
      </x:c>
      <x:c r="N16" s="13" t="str">
        <x:f>IF(AND(IF(ISNUMBER(D16),AND(D16&gt;=0,D16&lt;=1000000000000),FALSE),IF(ISNUMBER(E16),AND(E16&gt;=0,E16&lt;=1000000000000),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40</x:v>
      </x:c>
      <x:c r="E17" s="16" t="n">
        <x:v>44</x:v>
      </x:c>
      <x:c r="F17" s="27" t="n">
        <x:v>1800</x:v>
      </x:c>
      <x:c r="G17" s="16" t="n">
        <x:v>80</x:v>
      </x:c>
      <x:c r="H17" s="16" t="n">
        <x:v>74</x:v>
      </x:c>
      <x:c r="I17" s="27" t="n">
        <x:v>1250</x:v>
      </x:c>
      <x:c r="J17" s="27" t="n">
        <x:v>4200</x:v>
      </x:c>
      <x:c r="K17" s="27" t="n">
        <x:v>24000</x:v>
      </x:c>
      <x:c r="L17" s="30" t="n">
        <x:v>0.25</x:v>
      </x:c>
      <x:c r="M17" s="27" t="n">
        <x:v>0</x:v>
      </x:c>
      <x:c r="N17" s="13" t="str">
        <x:f>IF(AND(IF(ISNUMBER(D17),AND(D17&gt;=0,D17&lt;=1000000000000),FALSE),IF(ISNUMBER(E17),AND(E17&gt;=0,E17&lt;=1000000000000),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40</x:v>
      </x:c>
      <x:c r="E18" s="16" t="n">
        <x:v>44</x:v>
      </x:c>
      <x:c r="F18" s="27" t="n">
        <x:v>1800</x:v>
      </x:c>
      <x:c r="G18" s="16" t="n">
        <x:v>80</x:v>
      </x:c>
      <x:c r="H18" s="16" t="n">
        <x:v>74</x:v>
      </x:c>
      <x:c r="I18" s="27" t="n">
        <x:v>1250</x:v>
      </x:c>
      <x:c r="J18" s="27" t="n">
        <x:v>4200</x:v>
      </x:c>
      <x:c r="K18" s="27" t="n">
        <x:v>24000</x:v>
      </x:c>
      <x:c r="L18" s="30" t="n">
        <x:v>0.25</x:v>
      </x:c>
      <x:c r="M18" s="27" t="n">
        <x:v>0</x:v>
      </x:c>
      <x:c r="N18" s="13" t="str">
        <x:f>IF(AND(IF(ISNUMBER(D18),AND(D18&gt;=0,D18&lt;=1000000000000),FALSE),IF(ISNUMBER(E18),AND(E18&gt;=0,E18&lt;=1000000000000),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40</x:v>
      </x:c>
      <x:c r="E19" s="16" t="n">
        <x:v>44</x:v>
      </x:c>
      <x:c r="F19" s="27" t="n">
        <x:v>1800</x:v>
      </x:c>
      <x:c r="G19" s="16" t="n">
        <x:v>80</x:v>
      </x:c>
      <x:c r="H19" s="16" t="n">
        <x:v>74</x:v>
      </x:c>
      <x:c r="I19" s="27" t="n">
        <x:v>1250</x:v>
      </x:c>
      <x:c r="J19" s="27" t="n">
        <x:v>4200</x:v>
      </x:c>
      <x:c r="K19" s="27" t="n">
        <x:v>24000</x:v>
      </x:c>
      <x:c r="L19" s="30" t="n">
        <x:v>0.25</x:v>
      </x:c>
      <x:c r="M19" s="27" t="n">
        <x:v>0</x:v>
      </x:c>
      <x:c r="N19" s="13" t="str">
        <x:f>IF(AND(IF(ISNUMBER(D19),AND(D19&gt;=0,D19&lt;=1000000000000),FALSE),IF(ISNUMBER(E19),AND(E19&gt;=0,E19&lt;=1000000000000),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40</x:v>
      </x:c>
      <x:c r="E20" s="16" t="n">
        <x:v>44</x:v>
      </x:c>
      <x:c r="F20" s="27" t="n">
        <x:v>1800</x:v>
      </x:c>
      <x:c r="G20" s="16" t="n">
        <x:v>80</x:v>
      </x:c>
      <x:c r="H20" s="16" t="n">
        <x:v>74</x:v>
      </x:c>
      <x:c r="I20" s="27" t="n">
        <x:v>1250</x:v>
      </x:c>
      <x:c r="J20" s="27" t="n">
        <x:v>4200</x:v>
      </x:c>
      <x:c r="K20" s="27" t="n">
        <x:v>24000</x:v>
      </x:c>
      <x:c r="L20" s="30" t="n">
        <x:v>0.25</x:v>
      </x:c>
      <x:c r="M20" s="27" t="n">
        <x:v>0</x:v>
      </x:c>
      <x:c r="N20" s="13" t="str">
        <x:f>IF(AND(IF(ISNUMBER(D20),AND(D20&gt;=0,D20&lt;=1000000000000),FALSE),IF(ISNUMBER(E20),AND(E20&gt;=0,E20&lt;=1000000000000),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40</x:v>
      </x:c>
      <x:c r="E21" s="16" t="n">
        <x:v>44</x:v>
      </x:c>
      <x:c r="F21" s="27" t="n">
        <x:v>1800</x:v>
      </x:c>
      <x:c r="G21" s="16" t="n">
        <x:v>80</x:v>
      </x:c>
      <x:c r="H21" s="16" t="n">
        <x:v>74</x:v>
      </x:c>
      <x:c r="I21" s="27" t="n">
        <x:v>1250</x:v>
      </x:c>
      <x:c r="J21" s="27" t="n">
        <x:v>4200</x:v>
      </x:c>
      <x:c r="K21" s="27" t="n">
        <x:v>24000</x:v>
      </x:c>
      <x:c r="L21" s="30" t="n">
        <x:v>0.25</x:v>
      </x:c>
      <x:c r="M21" s="27" t="n">
        <x:v>0</x:v>
      </x:c>
      <x:c r="N21" s="13" t="str">
        <x:f>IF(AND(IF(ISNUMBER(D21),AND(D21&gt;=0,D21&lt;=1000000000000),FALSE),IF(ISNUMBER(E21),AND(E21&gt;=0,E21&lt;=1000000000000),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Supported infant enrollment</x:v>
      </x:c>
      <x:c r="D10" s="2" t="str">
        <x:v>children avg</x:v>
      </x:c>
      <x:c r="E10" s="49" t="n">
        <x:f>IF(COUNT(G10:R10)=12,AVERAGE(G10:R10),"n.a.")</x:f>
        <x:v>40</x:v>
      </x:c>
      <x:c r="F10" s="2"/>
      <x:c r="G10" s="48" t="n">
        <x:f>IF(AND('Rooms and Enrollment'!N10="OK"),IF(AND(ISNUMBER('Rooms and Enrollment'!$D$10),ISNUMBER('Rooms and Enrollment'!$E$10),ISNUMBER('Assumptions'!$D$61)),MIN('Rooms and Enrollment'!$D$10,'Rooms and Enrollment'!$E$10*'Assumptions'!$D$61),"n.a."),"n.a.")</x:f>
        <x:v>40</x:v>
      </x:c>
      <x:c r="H10" s="48" t="n">
        <x:f>IF(AND('Rooms and Enrollment'!N11="OK"),IF(AND(ISNUMBER('Rooms and Enrollment'!$D$11),ISNUMBER('Rooms and Enrollment'!$E$11),ISNUMBER('Assumptions'!$D$61)),MIN('Rooms and Enrollment'!$D$11,'Rooms and Enrollment'!$E$11*'Assumptions'!$D$61),"n.a."),"n.a.")</x:f>
        <x:v>40</x:v>
      </x:c>
      <x:c r="I10" s="48" t="n">
        <x:f>IF(AND('Rooms and Enrollment'!N12="OK"),IF(AND(ISNUMBER('Rooms and Enrollment'!$D$12),ISNUMBER('Rooms and Enrollment'!$E$12),ISNUMBER('Assumptions'!$D$61)),MIN('Rooms and Enrollment'!$D$12,'Rooms and Enrollment'!$E$12*'Assumptions'!$D$61),"n.a."),"n.a.")</x:f>
        <x:v>40</x:v>
      </x:c>
      <x:c r="J10" s="48" t="n">
        <x:f>IF(AND('Rooms and Enrollment'!N13="OK"),IF(AND(ISNUMBER('Rooms and Enrollment'!$D$13),ISNUMBER('Rooms and Enrollment'!$E$13),ISNUMBER('Assumptions'!$D$61)),MIN('Rooms and Enrollment'!$D$13,'Rooms and Enrollment'!$E$13*'Assumptions'!$D$61),"n.a."),"n.a.")</x:f>
        <x:v>40</x:v>
      </x:c>
      <x:c r="K10" s="48" t="n">
        <x:f>IF(AND('Rooms and Enrollment'!N14="OK"),IF(AND(ISNUMBER('Rooms and Enrollment'!$D$14),ISNUMBER('Rooms and Enrollment'!$E$14),ISNUMBER('Assumptions'!$D$61)),MIN('Rooms and Enrollment'!$D$14,'Rooms and Enrollment'!$E$14*'Assumptions'!$D$61),"n.a."),"n.a.")</x:f>
        <x:v>40</x:v>
      </x:c>
      <x:c r="L10" s="48" t="n">
        <x:f>IF(AND('Rooms and Enrollment'!N15="OK"),IF(AND(ISNUMBER('Rooms and Enrollment'!$D$15),ISNUMBER('Rooms and Enrollment'!$E$15),ISNUMBER('Assumptions'!$D$61)),MIN('Rooms and Enrollment'!$D$15,'Rooms and Enrollment'!$E$15*'Assumptions'!$D$61),"n.a."),"n.a.")</x:f>
        <x:v>40</x:v>
      </x:c>
      <x:c r="M10" s="48" t="n">
        <x:f>IF(AND('Rooms and Enrollment'!N16="OK"),IF(AND(ISNUMBER('Rooms and Enrollment'!$D$16),ISNUMBER('Rooms and Enrollment'!$E$16),ISNUMBER('Assumptions'!$D$61)),MIN('Rooms and Enrollment'!$D$16,'Rooms and Enrollment'!$E$16*'Assumptions'!$D$61),"n.a."),"n.a.")</x:f>
        <x:v>40</x:v>
      </x:c>
      <x:c r="N10" s="48" t="n">
        <x:f>IF(AND('Rooms and Enrollment'!N17="OK"),IF(AND(ISNUMBER('Rooms and Enrollment'!$D$17),ISNUMBER('Rooms and Enrollment'!$E$17),ISNUMBER('Assumptions'!$D$61)),MIN('Rooms and Enrollment'!$D$17,'Rooms and Enrollment'!$E$17*'Assumptions'!$D$61),"n.a."),"n.a.")</x:f>
        <x:v>40</x:v>
      </x:c>
      <x:c r="O10" s="48" t="n">
        <x:f>IF(AND('Rooms and Enrollment'!N18="OK"),IF(AND(ISNUMBER('Rooms and Enrollment'!$D$18),ISNUMBER('Rooms and Enrollment'!$E$18),ISNUMBER('Assumptions'!$D$61)),MIN('Rooms and Enrollment'!$D$18,'Rooms and Enrollment'!$E$18*'Assumptions'!$D$61),"n.a."),"n.a.")</x:f>
        <x:v>40</x:v>
      </x:c>
      <x:c r="P10" s="48" t="n">
        <x:f>IF(AND('Rooms and Enrollment'!N19="OK"),IF(AND(ISNUMBER('Rooms and Enrollment'!$D$19),ISNUMBER('Rooms and Enrollment'!$E$19),ISNUMBER('Assumptions'!$D$61)),MIN('Rooms and Enrollment'!$D$19,'Rooms and Enrollment'!$E$19*'Assumptions'!$D$61),"n.a."),"n.a.")</x:f>
        <x:v>40</x:v>
      </x:c>
      <x:c r="Q10" s="48" t="n">
        <x:f>IF(AND('Rooms and Enrollment'!N20="OK"),IF(AND(ISNUMBER('Rooms and Enrollment'!$D$20),ISNUMBER('Rooms and Enrollment'!$E$20),ISNUMBER('Assumptions'!$D$61)),MIN('Rooms and Enrollment'!$D$20,'Rooms and Enrollment'!$E$20*'Assumptions'!$D$61),"n.a."),"n.a.")</x:f>
        <x:v>40</x:v>
      </x:c>
      <x:c r="R10" s="48" t="n">
        <x:f>IF(AND('Rooms and Enrollment'!N21="OK"),IF(AND(ISNUMBER('Rooms and Enrollment'!$D$21),ISNUMBER('Rooms and Enrollment'!$E$21),ISNUMBER('Assumptions'!$D$61)),MIN('Rooms and Enrollment'!$D$21,'Rooms and Enrollment'!$E$21*'Assumptions'!$D$61),"n.a."),"n.a.")</x:f>
        <x:v>40</x:v>
      </x:c>
    </x:row>
    <x:row r="11" ht="21" customHeight="1">
      <x:c r="A11" s="2"/>
      <x:c r="B11" s="2"/>
      <x:c r="C11" s="2" t="str">
        <x:v>Supported older-child enrollment</x:v>
      </x:c>
      <x:c r="D11" s="2" t="str">
        <x:v>children avg</x:v>
      </x:c>
      <x:c r="E11" s="49" t="n">
        <x:f>IF(COUNT(G11:R11)=12,AVERAGE(G11:R11),"n.a.")</x:f>
        <x:v>74</x:v>
      </x:c>
      <x:c r="F11" s="2"/>
      <x:c r="G11" s="48" t="n">
        <x:f>IF(AND('Rooms and Enrollment'!N10="OK"),IF(AND(ISNUMBER('Rooms and Enrollment'!$G$10),ISNUMBER('Rooms and Enrollment'!$H$10),ISNUMBER('Assumptions'!$D$61)),MIN('Rooms and Enrollment'!$G$10,'Rooms and Enrollment'!$H$10*'Assumptions'!$D$61),"n.a."),"n.a.")</x:f>
        <x:v>74</x:v>
      </x:c>
      <x:c r="H11" s="48" t="n">
        <x:f>IF(AND('Rooms and Enrollment'!N11="OK"),IF(AND(ISNUMBER('Rooms and Enrollment'!$G$11),ISNUMBER('Rooms and Enrollment'!$H$11),ISNUMBER('Assumptions'!$D$61)),MIN('Rooms and Enrollment'!$G$11,'Rooms and Enrollment'!$H$11*'Assumptions'!$D$61),"n.a."),"n.a.")</x:f>
        <x:v>74</x:v>
      </x:c>
      <x:c r="I11" s="48" t="n">
        <x:f>IF(AND('Rooms and Enrollment'!N12="OK"),IF(AND(ISNUMBER('Rooms and Enrollment'!$G$12),ISNUMBER('Rooms and Enrollment'!$H$12),ISNUMBER('Assumptions'!$D$61)),MIN('Rooms and Enrollment'!$G$12,'Rooms and Enrollment'!$H$12*'Assumptions'!$D$61),"n.a."),"n.a.")</x:f>
        <x:v>74</x:v>
      </x:c>
      <x:c r="J11" s="48" t="n">
        <x:f>IF(AND('Rooms and Enrollment'!N13="OK"),IF(AND(ISNUMBER('Rooms and Enrollment'!$G$13),ISNUMBER('Rooms and Enrollment'!$H$13),ISNUMBER('Assumptions'!$D$61)),MIN('Rooms and Enrollment'!$G$13,'Rooms and Enrollment'!$H$13*'Assumptions'!$D$61),"n.a."),"n.a.")</x:f>
        <x:v>74</x:v>
      </x:c>
      <x:c r="K11" s="48" t="n">
        <x:f>IF(AND('Rooms and Enrollment'!N14="OK"),IF(AND(ISNUMBER('Rooms and Enrollment'!$G$14),ISNUMBER('Rooms and Enrollment'!$H$14),ISNUMBER('Assumptions'!$D$61)),MIN('Rooms and Enrollment'!$G$14,'Rooms and Enrollment'!$H$14*'Assumptions'!$D$61),"n.a."),"n.a.")</x:f>
        <x:v>74</x:v>
      </x:c>
      <x:c r="L11" s="48" t="n">
        <x:f>IF(AND('Rooms and Enrollment'!N15="OK"),IF(AND(ISNUMBER('Rooms and Enrollment'!$G$15),ISNUMBER('Rooms and Enrollment'!$H$15),ISNUMBER('Assumptions'!$D$61)),MIN('Rooms and Enrollment'!$G$15,'Rooms and Enrollment'!$H$15*'Assumptions'!$D$61),"n.a."),"n.a.")</x:f>
        <x:v>74</x:v>
      </x:c>
      <x:c r="M11" s="48" t="n">
        <x:f>IF(AND('Rooms and Enrollment'!N16="OK"),IF(AND(ISNUMBER('Rooms and Enrollment'!$G$16),ISNUMBER('Rooms and Enrollment'!$H$16),ISNUMBER('Assumptions'!$D$61)),MIN('Rooms and Enrollment'!$G$16,'Rooms and Enrollment'!$H$16*'Assumptions'!$D$61),"n.a."),"n.a.")</x:f>
        <x:v>74</x:v>
      </x:c>
      <x:c r="N11" s="48" t="n">
        <x:f>IF(AND('Rooms and Enrollment'!N17="OK"),IF(AND(ISNUMBER('Rooms and Enrollment'!$G$17),ISNUMBER('Rooms and Enrollment'!$H$17),ISNUMBER('Assumptions'!$D$61)),MIN('Rooms and Enrollment'!$G$17,'Rooms and Enrollment'!$H$17*'Assumptions'!$D$61),"n.a."),"n.a.")</x:f>
        <x:v>74</x:v>
      </x:c>
      <x:c r="O11" s="48" t="n">
        <x:f>IF(AND('Rooms and Enrollment'!N18="OK"),IF(AND(ISNUMBER('Rooms and Enrollment'!$G$18),ISNUMBER('Rooms and Enrollment'!$H$18),ISNUMBER('Assumptions'!$D$61)),MIN('Rooms and Enrollment'!$G$18,'Rooms and Enrollment'!$H$18*'Assumptions'!$D$61),"n.a."),"n.a.")</x:f>
        <x:v>74</x:v>
      </x:c>
      <x:c r="P11" s="48" t="n">
        <x:f>IF(AND('Rooms and Enrollment'!N19="OK"),IF(AND(ISNUMBER('Rooms and Enrollment'!$G$19),ISNUMBER('Rooms and Enrollment'!$H$19),ISNUMBER('Assumptions'!$D$61)),MIN('Rooms and Enrollment'!$G$19,'Rooms and Enrollment'!$H$19*'Assumptions'!$D$61),"n.a."),"n.a.")</x:f>
        <x:v>74</x:v>
      </x:c>
      <x:c r="Q11" s="48" t="n">
        <x:f>IF(AND('Rooms and Enrollment'!N20="OK"),IF(AND(ISNUMBER('Rooms and Enrollment'!$G$20),ISNUMBER('Rooms and Enrollment'!$H$20),ISNUMBER('Assumptions'!$D$61)),MIN('Rooms and Enrollment'!$G$20,'Rooms and Enrollment'!$H$20*'Assumptions'!$D$61),"n.a."),"n.a.")</x:f>
        <x:v>74</x:v>
      </x:c>
      <x:c r="R11" s="48" t="n">
        <x:f>IF(AND('Rooms and Enrollment'!N21="OK"),IF(AND(ISNUMBER('Rooms and Enrollment'!$G$21),ISNUMBER('Rooms and Enrollment'!$H$21),ISNUMBER('Assumptions'!$D$61)),MIN('Rooms and Enrollment'!$G$21,'Rooms and Enrollment'!$H$21*'Assumptions'!$D$61),"n.a."),"n.a.")</x:f>
        <x:v>74</x:v>
      </x:c>
    </x:row>
    <x:row r="12" ht="21" customHeight="1">
      <x:c r="A12" s="2"/>
      <x:c r="B12" s="2"/>
      <x:c r="C12" s="2" t="str">
        <x:v>Modeled teacher FTE with coverage</x:v>
      </x:c>
      <x:c r="D12" s="2" t="str">
        <x:v>FTE avg</x:v>
      </x:c>
      <x:c r="E12" s="49" t="n">
        <x:f>IF(COUNT(G12:R12)=12,AVERAGE(G12:R12),"n.a.")</x:f>
        <x:v>20.699999999999996</x:v>
      </x:c>
      <x:c r="F12" s="2"/>
      <x:c r="G12" s="48" t="n">
        <x:f>IF(AND(ISNUMBER(G10),ISNUMBER('Assumptions'!$D$88),ISNUMBER(G11),ISNUMBER('Assumptions'!$D$91),ISNUMBER('Assumptions'!$D$94)),(ROUNDUP(G10/'Assumptions'!$D$88,0)+ROUNDUP(G11/'Assumptions'!$D$91,0))*'Assumptions'!$D$94,"n.a.")</x:f>
        <x:v>20.7</x:v>
      </x:c>
      <x:c r="H12" s="48" t="n">
        <x:f>IF(AND(ISNUMBER(H10),ISNUMBER('Assumptions'!$D$88),ISNUMBER(H11),ISNUMBER('Assumptions'!$D$91),ISNUMBER('Assumptions'!$D$94)),(ROUNDUP(H10/'Assumptions'!$D$88,0)+ROUNDUP(H11/'Assumptions'!$D$91,0))*'Assumptions'!$D$94,"n.a.")</x:f>
        <x:v>20.7</x:v>
      </x:c>
      <x:c r="I12" s="48" t="n">
        <x:f>IF(AND(ISNUMBER(I10),ISNUMBER('Assumptions'!$D$88),ISNUMBER(I11),ISNUMBER('Assumptions'!$D$91),ISNUMBER('Assumptions'!$D$94)),(ROUNDUP(I10/'Assumptions'!$D$88,0)+ROUNDUP(I11/'Assumptions'!$D$91,0))*'Assumptions'!$D$94,"n.a.")</x:f>
        <x:v>20.7</x:v>
      </x:c>
      <x:c r="J12" s="48" t="n">
        <x:f>IF(AND(ISNUMBER(J10),ISNUMBER('Assumptions'!$D$88),ISNUMBER(J11),ISNUMBER('Assumptions'!$D$91),ISNUMBER('Assumptions'!$D$94)),(ROUNDUP(J10/'Assumptions'!$D$88,0)+ROUNDUP(J11/'Assumptions'!$D$91,0))*'Assumptions'!$D$94,"n.a.")</x:f>
        <x:v>20.7</x:v>
      </x:c>
      <x:c r="K12" s="48" t="n">
        <x:f>IF(AND(ISNUMBER(K10),ISNUMBER('Assumptions'!$D$88),ISNUMBER(K11),ISNUMBER('Assumptions'!$D$91),ISNUMBER('Assumptions'!$D$94)),(ROUNDUP(K10/'Assumptions'!$D$88,0)+ROUNDUP(K11/'Assumptions'!$D$91,0))*'Assumptions'!$D$94,"n.a.")</x:f>
        <x:v>20.7</x:v>
      </x:c>
      <x:c r="L12" s="48" t="n">
        <x:f>IF(AND(ISNUMBER(L10),ISNUMBER('Assumptions'!$D$88),ISNUMBER(L11),ISNUMBER('Assumptions'!$D$91),ISNUMBER('Assumptions'!$D$94)),(ROUNDUP(L10/'Assumptions'!$D$88,0)+ROUNDUP(L11/'Assumptions'!$D$91,0))*'Assumptions'!$D$94,"n.a.")</x:f>
        <x:v>20.7</x:v>
      </x:c>
      <x:c r="M12" s="48" t="n">
        <x:f>IF(AND(ISNUMBER(M10),ISNUMBER('Assumptions'!$D$88),ISNUMBER(M11),ISNUMBER('Assumptions'!$D$91),ISNUMBER('Assumptions'!$D$94)),(ROUNDUP(M10/'Assumptions'!$D$88,0)+ROUNDUP(M11/'Assumptions'!$D$91,0))*'Assumptions'!$D$94,"n.a.")</x:f>
        <x:v>20.7</x:v>
      </x:c>
      <x:c r="N12" s="48" t="n">
        <x:f>IF(AND(ISNUMBER(N10),ISNUMBER('Assumptions'!$D$88),ISNUMBER(N11),ISNUMBER('Assumptions'!$D$91),ISNUMBER('Assumptions'!$D$94)),(ROUNDUP(N10/'Assumptions'!$D$88,0)+ROUNDUP(N11/'Assumptions'!$D$91,0))*'Assumptions'!$D$94,"n.a.")</x:f>
        <x:v>20.7</x:v>
      </x:c>
      <x:c r="O12" s="48" t="n">
        <x:f>IF(AND(ISNUMBER(O10),ISNUMBER('Assumptions'!$D$88),ISNUMBER(O11),ISNUMBER('Assumptions'!$D$91),ISNUMBER('Assumptions'!$D$94)),(ROUNDUP(O10/'Assumptions'!$D$88,0)+ROUNDUP(O11/'Assumptions'!$D$91,0))*'Assumptions'!$D$94,"n.a.")</x:f>
        <x:v>20.7</x:v>
      </x:c>
      <x:c r="P12" s="48" t="n">
        <x:f>IF(AND(ISNUMBER(P10),ISNUMBER('Assumptions'!$D$88),ISNUMBER(P11),ISNUMBER('Assumptions'!$D$91),ISNUMBER('Assumptions'!$D$94)),(ROUNDUP(P10/'Assumptions'!$D$88,0)+ROUNDUP(P11/'Assumptions'!$D$91,0))*'Assumptions'!$D$94,"n.a.")</x:f>
        <x:v>20.7</x:v>
      </x:c>
      <x:c r="Q12" s="48" t="n">
        <x:f>IF(AND(ISNUMBER(Q10),ISNUMBER('Assumptions'!$D$88),ISNUMBER(Q11),ISNUMBER('Assumptions'!$D$91),ISNUMBER('Assumptions'!$D$94)),(ROUNDUP(Q10/'Assumptions'!$D$88,0)+ROUNDUP(Q11/'Assumptions'!$D$91,0))*'Assumptions'!$D$94,"n.a.")</x:f>
        <x:v>20.7</x:v>
      </x:c>
      <x:c r="R12" s="48" t="n">
        <x:f>IF(AND(ISNUMBER(R10),ISNUMBER('Assumptions'!$D$88),ISNUMBER(R11),ISNUMBER('Assumptions'!$D$91),ISNUMBER('Assumptions'!$D$94)),(ROUNDUP(R10/'Assumptions'!$D$88,0)+ROUNDUP(R11/'Assumptions'!$D$91,0))*'Assumptions'!$D$94,"n.a.")</x:f>
        <x:v>20.7</x:v>
      </x:c>
    </x:row>
    <x:row r="13" ht="21" customHeight="1">
      <x:c r="A13" s="2"/>
      <x:c r="B13" s="2"/>
      <x:c r="C13" s="2" t="str">
        <x:v>Net collectible tuition</x:v>
      </x:c>
      <x:c r="D13" s="2" t="str">
        <x:v>USD</x:v>
      </x:c>
      <x:c r="E13" s="52" t="n">
        <x:f>IF(COUNT(G13:R13)=12,SUM(G13:R13),"n.a.")</x:f>
        <x:v>1934520</x:v>
      </x:c>
      <x:c r="F13" s="2"/>
      <x:c r="G13" s="51" t="n">
        <x:f>IF(AND('Rooms and Enrollment'!N10="OK"),IF(AND(ISNUMBER(G10),ISNUMBER('Rooms and Enrollment'!$F$10),ISNUMBER(G11),ISNUMBER('Rooms and Enrollment'!$I$10),ISNUMBER('Assumptions'!$D$64),ISNUMBER('Assumptions'!$D$97)),(G10*'Rooms and Enrollment'!$F$10+G11*'Rooms and Enrollment'!$I$10)*'Assumptions'!$D$64*'Assumptions'!$D$97,"n.a."),"n.a.")</x:f>
        <x:v>161210</x:v>
      </x:c>
      <x:c r="H13" s="51" t="n">
        <x:f>IF(AND('Rooms and Enrollment'!N11="OK"),IF(AND(ISNUMBER(H10),ISNUMBER('Rooms and Enrollment'!$F$11),ISNUMBER(H11),ISNUMBER('Rooms and Enrollment'!$I$11),ISNUMBER('Assumptions'!$D$64),ISNUMBER('Assumptions'!$D$97)),(H10*'Rooms and Enrollment'!$F$11+H11*'Rooms and Enrollment'!$I$11)*'Assumptions'!$D$64*'Assumptions'!$D$97,"n.a."),"n.a.")</x:f>
        <x:v>161210</x:v>
      </x:c>
      <x:c r="I13" s="51" t="n">
        <x:f>IF(AND('Rooms and Enrollment'!N12="OK"),IF(AND(ISNUMBER(I10),ISNUMBER('Rooms and Enrollment'!$F$12),ISNUMBER(I11),ISNUMBER('Rooms and Enrollment'!$I$12),ISNUMBER('Assumptions'!$D$64),ISNUMBER('Assumptions'!$D$97)),(I10*'Rooms and Enrollment'!$F$12+I11*'Rooms and Enrollment'!$I$12)*'Assumptions'!$D$64*'Assumptions'!$D$97,"n.a."),"n.a.")</x:f>
        <x:v>161210</x:v>
      </x:c>
      <x:c r="J13" s="51" t="n">
        <x:f>IF(AND('Rooms and Enrollment'!N13="OK"),IF(AND(ISNUMBER(J10),ISNUMBER('Rooms and Enrollment'!$F$13),ISNUMBER(J11),ISNUMBER('Rooms and Enrollment'!$I$13),ISNUMBER('Assumptions'!$D$64),ISNUMBER('Assumptions'!$D$97)),(J10*'Rooms and Enrollment'!$F$13+J11*'Rooms and Enrollment'!$I$13)*'Assumptions'!$D$64*'Assumptions'!$D$97,"n.a."),"n.a.")</x:f>
        <x:v>161210</x:v>
      </x:c>
      <x:c r="K13" s="51" t="n">
        <x:f>IF(AND('Rooms and Enrollment'!N14="OK"),IF(AND(ISNUMBER(K10),ISNUMBER('Rooms and Enrollment'!$F$14),ISNUMBER(K11),ISNUMBER('Rooms and Enrollment'!$I$14),ISNUMBER('Assumptions'!$D$64),ISNUMBER('Assumptions'!$D$97)),(K10*'Rooms and Enrollment'!$F$14+K11*'Rooms and Enrollment'!$I$14)*'Assumptions'!$D$64*'Assumptions'!$D$97,"n.a."),"n.a.")</x:f>
        <x:v>161210</x:v>
      </x:c>
      <x:c r="L13" s="51" t="n">
        <x:f>IF(AND('Rooms and Enrollment'!N15="OK"),IF(AND(ISNUMBER(L10),ISNUMBER('Rooms and Enrollment'!$F$15),ISNUMBER(L11),ISNUMBER('Rooms and Enrollment'!$I$15),ISNUMBER('Assumptions'!$D$64),ISNUMBER('Assumptions'!$D$97)),(L10*'Rooms and Enrollment'!$F$15+L11*'Rooms and Enrollment'!$I$15)*'Assumptions'!$D$64*'Assumptions'!$D$97,"n.a."),"n.a.")</x:f>
        <x:v>161210</x:v>
      </x:c>
      <x:c r="M13" s="51" t="n">
        <x:f>IF(AND('Rooms and Enrollment'!N16="OK"),IF(AND(ISNUMBER(M10),ISNUMBER('Rooms and Enrollment'!$F$16),ISNUMBER(M11),ISNUMBER('Rooms and Enrollment'!$I$16),ISNUMBER('Assumptions'!$D$64),ISNUMBER('Assumptions'!$D$97)),(M10*'Rooms and Enrollment'!$F$16+M11*'Rooms and Enrollment'!$I$16)*'Assumptions'!$D$64*'Assumptions'!$D$97,"n.a."),"n.a.")</x:f>
        <x:v>161210</x:v>
      </x:c>
      <x:c r="N13" s="51" t="n">
        <x:f>IF(AND('Rooms and Enrollment'!N17="OK"),IF(AND(ISNUMBER(N10),ISNUMBER('Rooms and Enrollment'!$F$17),ISNUMBER(N11),ISNUMBER('Rooms and Enrollment'!$I$17),ISNUMBER('Assumptions'!$D$64),ISNUMBER('Assumptions'!$D$97)),(N10*'Rooms and Enrollment'!$F$17+N11*'Rooms and Enrollment'!$I$17)*'Assumptions'!$D$64*'Assumptions'!$D$97,"n.a."),"n.a.")</x:f>
        <x:v>161210</x:v>
      </x:c>
      <x:c r="O13" s="51" t="n">
        <x:f>IF(AND('Rooms and Enrollment'!N18="OK"),IF(AND(ISNUMBER(O10),ISNUMBER('Rooms and Enrollment'!$F$18),ISNUMBER(O11),ISNUMBER('Rooms and Enrollment'!$I$18),ISNUMBER('Assumptions'!$D$64),ISNUMBER('Assumptions'!$D$97)),(O10*'Rooms and Enrollment'!$F$18+O11*'Rooms and Enrollment'!$I$18)*'Assumptions'!$D$64*'Assumptions'!$D$97,"n.a."),"n.a.")</x:f>
        <x:v>161210</x:v>
      </x:c>
      <x:c r="P13" s="51" t="n">
        <x:f>IF(AND('Rooms and Enrollment'!N19="OK"),IF(AND(ISNUMBER(P10),ISNUMBER('Rooms and Enrollment'!$F$19),ISNUMBER(P11),ISNUMBER('Rooms and Enrollment'!$I$19),ISNUMBER('Assumptions'!$D$64),ISNUMBER('Assumptions'!$D$97)),(P10*'Rooms and Enrollment'!$F$19+P11*'Rooms and Enrollment'!$I$19)*'Assumptions'!$D$64*'Assumptions'!$D$97,"n.a."),"n.a.")</x:f>
        <x:v>161210</x:v>
      </x:c>
      <x:c r="Q13" s="51" t="n">
        <x:f>IF(AND('Rooms and Enrollment'!N20="OK"),IF(AND(ISNUMBER(Q10),ISNUMBER('Rooms and Enrollment'!$F$20),ISNUMBER(Q11),ISNUMBER('Rooms and Enrollment'!$I$20),ISNUMBER('Assumptions'!$D$64),ISNUMBER('Assumptions'!$D$97)),(Q10*'Rooms and Enrollment'!$F$20+Q11*'Rooms and Enrollment'!$I$20)*'Assumptions'!$D$64*'Assumptions'!$D$97,"n.a."),"n.a.")</x:f>
        <x:v>161210</x:v>
      </x:c>
      <x:c r="R13" s="51" t="n">
        <x:f>IF(AND('Rooms and Enrollment'!N21="OK"),IF(AND(ISNUMBER(R10),ISNUMBER('Rooms and Enrollment'!$F$21),ISNUMBER(R11),ISNUMBER('Rooms and Enrollment'!$I$21),ISNUMBER('Assumptions'!$D$64),ISNUMBER('Assumptions'!$D$97)),(R10*'Rooms and Enrollment'!$F$21+R11*'Rooms and Enrollment'!$I$21)*'Assumptions'!$D$64*'Assumptions'!$D$97,"n.a."),"n.a.")</x:f>
        <x:v>161210</x:v>
      </x:c>
    </x:row>
    <x:row r="14" ht="21" customHeight="1">
      <x:c r="A14" s="2"/>
      <x:c r="B14" s="2"/>
      <x:c r="C14" s="2" t="str">
        <x:v>Subsidy tuition billed</x:v>
      </x:c>
      <x:c r="D14" s="2" t="str">
        <x:v>USD</x:v>
      </x:c>
      <x:c r="E14" s="52" t="n">
        <x:f>IF(COUNT(G14:R14)=12,SUM(G14:R14),"n.a.")</x:f>
        <x:v>483630</x:v>
      </x:c>
      <x:c r="F14" s="2"/>
      <x:c r="G14" s="51" t="n">
        <x:f>IF(AND('Rooms and Enrollment'!N10="OK"),IF(AND(ISNUMBER(G13),ISNUMBER('Rooms and Enrollment'!$L$10)),G13*'Rooms and Enrollment'!$L$10,"n.a."),"n.a.")</x:f>
        <x:v>40302.5</x:v>
      </x:c>
      <x:c r="H14" s="51" t="n">
        <x:f>IF(AND('Rooms and Enrollment'!N11="OK"),IF(AND(ISNUMBER(H13),ISNUMBER('Rooms and Enrollment'!$L$11)),H13*'Rooms and Enrollment'!$L$11,"n.a."),"n.a.")</x:f>
        <x:v>40302.5</x:v>
      </x:c>
      <x:c r="I14" s="51" t="n">
        <x:f>IF(AND('Rooms and Enrollment'!N12="OK"),IF(AND(ISNUMBER(I13),ISNUMBER('Rooms and Enrollment'!$L$12)),I13*'Rooms and Enrollment'!$L$12,"n.a."),"n.a.")</x:f>
        <x:v>40302.5</x:v>
      </x:c>
      <x:c r="J14" s="51" t="n">
        <x:f>IF(AND('Rooms and Enrollment'!N13="OK"),IF(AND(ISNUMBER(J13),ISNUMBER('Rooms and Enrollment'!$L$13)),J13*'Rooms and Enrollment'!$L$13,"n.a."),"n.a.")</x:f>
        <x:v>40302.5</x:v>
      </x:c>
      <x:c r="K14" s="51" t="n">
        <x:f>IF(AND('Rooms and Enrollment'!N14="OK"),IF(AND(ISNUMBER(K13),ISNUMBER('Rooms and Enrollment'!$L$14)),K13*'Rooms and Enrollment'!$L$14,"n.a."),"n.a.")</x:f>
        <x:v>40302.5</x:v>
      </x:c>
      <x:c r="L14" s="51" t="n">
        <x:f>IF(AND('Rooms and Enrollment'!N15="OK"),IF(AND(ISNUMBER(L13),ISNUMBER('Rooms and Enrollment'!$L$15)),L13*'Rooms and Enrollment'!$L$15,"n.a."),"n.a.")</x:f>
        <x:v>40302.5</x:v>
      </x:c>
      <x:c r="M14" s="51" t="n">
        <x:f>IF(AND('Rooms and Enrollment'!N16="OK"),IF(AND(ISNUMBER(M13),ISNUMBER('Rooms and Enrollment'!$L$16)),M13*'Rooms and Enrollment'!$L$16,"n.a."),"n.a.")</x:f>
        <x:v>40302.5</x:v>
      </x:c>
      <x:c r="N14" s="51" t="n">
        <x:f>IF(AND('Rooms and Enrollment'!N17="OK"),IF(AND(ISNUMBER(N13),ISNUMBER('Rooms and Enrollment'!$L$17)),N13*'Rooms and Enrollment'!$L$17,"n.a."),"n.a.")</x:f>
        <x:v>40302.5</x:v>
      </x:c>
      <x:c r="O14" s="51" t="n">
        <x:f>IF(AND('Rooms and Enrollment'!N18="OK"),IF(AND(ISNUMBER(O13),ISNUMBER('Rooms and Enrollment'!$L$18)),O13*'Rooms and Enrollment'!$L$18,"n.a."),"n.a.")</x:f>
        <x:v>40302.5</x:v>
      </x:c>
      <x:c r="P14" s="51" t="n">
        <x:f>IF(AND('Rooms and Enrollment'!N19="OK"),IF(AND(ISNUMBER(P13),ISNUMBER('Rooms and Enrollment'!$L$19)),P13*'Rooms and Enrollment'!$L$19,"n.a."),"n.a.")</x:f>
        <x:v>40302.5</x:v>
      </x:c>
      <x:c r="Q14" s="51" t="n">
        <x:f>IF(AND('Rooms and Enrollment'!N20="OK"),IF(AND(ISNUMBER(Q13),ISNUMBER('Rooms and Enrollment'!$L$20)),Q13*'Rooms and Enrollment'!$L$20,"n.a."),"n.a.")</x:f>
        <x:v>40302.5</x:v>
      </x:c>
      <x:c r="R14" s="51" t="n">
        <x:f>IF(AND('Rooms and Enrollment'!N21="OK"),IF(AND(ISNUMBER(R13),ISNUMBER('Rooms and Enrollment'!$L$21)),R13*'Rooms and Enrollment'!$L$21,"n.a."),"n.a.")</x:f>
        <x:v>40302.5</x:v>
      </x:c>
    </x:row>
    <x:row r="15" ht="21" customHeight="1">
      <x:c r="A15" s="2"/>
      <x:c r="B15" s="2"/>
      <x:c r="C15" s="2" t="str">
        <x:v>Ending subsidy receivables</x:v>
      </x:c>
      <x:c r="D15" s="2" t="str">
        <x:v>USD end</x:v>
      </x:c>
      <x:c r="E15" s="52" t="n">
        <x:f>IF(ISNUMBER(R15),R15,"n.a.")</x:f>
        <x:v>30226.875</x:v>
      </x:c>
      <x:c r="F15" s="2"/>
      <x:c r="G15" s="51" t="n">
        <x:f>IF(AND(ISNUMBER(G14),ISNUMBER('Assumptions'!$D$100)),G14*(1-'Assumptions'!$D$100),"n.a.")</x:f>
        <x:v>30226.875</x:v>
      </x:c>
      <x:c r="H15" s="51" t="n">
        <x:f>IF(AND(ISNUMBER(H14),ISNUMBER('Assumptions'!$D$100)),H14*(1-'Assumptions'!$D$100),"n.a.")</x:f>
        <x:v>30226.875</x:v>
      </x:c>
      <x:c r="I15" s="51" t="n">
        <x:f>IF(AND(ISNUMBER(I14),ISNUMBER('Assumptions'!$D$100)),I14*(1-'Assumptions'!$D$100),"n.a.")</x:f>
        <x:v>30226.875</x:v>
      </x:c>
      <x:c r="J15" s="51" t="n">
        <x:f>IF(AND(ISNUMBER(J14),ISNUMBER('Assumptions'!$D$100)),J14*(1-'Assumptions'!$D$100),"n.a.")</x:f>
        <x:v>30226.875</x:v>
      </x:c>
      <x:c r="K15" s="51" t="n">
        <x:f>IF(AND(ISNUMBER(K14),ISNUMBER('Assumptions'!$D$100)),K14*(1-'Assumptions'!$D$100),"n.a.")</x:f>
        <x:v>30226.875</x:v>
      </x:c>
      <x:c r="L15" s="51" t="n">
        <x:f>IF(AND(ISNUMBER(L14),ISNUMBER('Assumptions'!$D$100)),L14*(1-'Assumptions'!$D$100),"n.a.")</x:f>
        <x:v>30226.875</x:v>
      </x:c>
      <x:c r="M15" s="51" t="n">
        <x:f>IF(AND(ISNUMBER(M14),ISNUMBER('Assumptions'!$D$100)),M14*(1-'Assumptions'!$D$100),"n.a.")</x:f>
        <x:v>30226.875</x:v>
      </x:c>
      <x:c r="N15" s="51" t="n">
        <x:f>IF(AND(ISNUMBER(N14),ISNUMBER('Assumptions'!$D$100)),N14*(1-'Assumptions'!$D$100),"n.a.")</x:f>
        <x:v>30226.875</x:v>
      </x:c>
      <x:c r="O15" s="51" t="n">
        <x:f>IF(AND(ISNUMBER(O14),ISNUMBER('Assumptions'!$D$100)),O14*(1-'Assumptions'!$D$100),"n.a.")</x:f>
        <x:v>30226.875</x:v>
      </x:c>
      <x:c r="P15" s="51" t="n">
        <x:f>IF(AND(ISNUMBER(P14),ISNUMBER('Assumptions'!$D$100)),P14*(1-'Assumptions'!$D$100),"n.a.")</x:f>
        <x:v>30226.875</x:v>
      </x:c>
      <x:c r="Q15" s="51" t="n">
        <x:f>IF(AND(ISNUMBER(Q14),ISNUMBER('Assumptions'!$D$100)),Q14*(1-'Assumptions'!$D$100),"n.a.")</x:f>
        <x:v>30226.875</x:v>
      </x:c>
      <x:c r="R15" s="51" t="n">
        <x:f>IF(AND(ISNUMBER(R14),ISNUMBER('Assumptions'!$D$100)),R14*(1-'Assumptions'!$D$100),"n.a.")</x:f>
        <x:v>30226.875</x:v>
      </x:c>
    </x:row>
    <x:row r="16" ht="21" customHeight="1">
      <x:c r="A16" s="2"/>
      <x:c r="B16" s="2"/>
      <x:c r="C16" s="2" t="str">
        <x:v>Private-pay and subsidy collections</x:v>
      </x:c>
      <x:c r="D16" s="2" t="str">
        <x:v>USD</x:v>
      </x:c>
      <x:c r="E16" s="52" t="n">
        <x:f>IF(COUNT(G16:R16)=12,SUM(G16:R16),"n.a.")</x:f>
        <x:v>1932293.125</x:v>
      </x:c>
      <x:c r="F16" s="2"/>
      <x:c r="G16" s="51" t="n">
        <x:f>IF(AND(ISNUMBER(G13),ISNUMBER(G14),ISNUMBER('Assumptions'!$D$100),ISNUMBER('Assumptions'!$D$103)),G13-G14+G14*'Assumptions'!$D$100+'Assumptions'!$D$103,"n.a.")</x:f>
        <x:v>158983.125</x:v>
      </x:c>
      <x:c r="H16" s="51" t="n">
        <x:f>IF(AND(ISNUMBER(H13),ISNUMBER(H14),ISNUMBER('Assumptions'!$D$100),ISNUMBER(G15)),H13-H14+H14*'Assumptions'!$D$100+G15,"n.a.")</x:f>
        <x:v>161210</x:v>
      </x:c>
      <x:c r="I16" s="51" t="n">
        <x:f>IF(AND(ISNUMBER(I13),ISNUMBER(I14),ISNUMBER('Assumptions'!$D$100),ISNUMBER(H15)),I13-I14+I14*'Assumptions'!$D$100+H15,"n.a.")</x:f>
        <x:v>161210</x:v>
      </x:c>
      <x:c r="J16" s="51" t="n">
        <x:f>IF(AND(ISNUMBER(J13),ISNUMBER(J14),ISNUMBER('Assumptions'!$D$100),ISNUMBER(I15)),J13-J14+J14*'Assumptions'!$D$100+I15,"n.a.")</x:f>
        <x:v>161210</x:v>
      </x:c>
      <x:c r="K16" s="51" t="n">
        <x:f>IF(AND(ISNUMBER(K13),ISNUMBER(K14),ISNUMBER('Assumptions'!$D$100),ISNUMBER(J15)),K13-K14+K14*'Assumptions'!$D$100+J15,"n.a.")</x:f>
        <x:v>161210</x:v>
      </x:c>
      <x:c r="L16" s="51" t="n">
        <x:f>IF(AND(ISNUMBER(L13),ISNUMBER(L14),ISNUMBER('Assumptions'!$D$100),ISNUMBER(K15)),L13-L14+L14*'Assumptions'!$D$100+K15,"n.a.")</x:f>
        <x:v>161210</x:v>
      </x:c>
      <x:c r="M16" s="51" t="n">
        <x:f>IF(AND(ISNUMBER(M13),ISNUMBER(M14),ISNUMBER('Assumptions'!$D$100),ISNUMBER(L15)),M13-M14+M14*'Assumptions'!$D$100+L15,"n.a.")</x:f>
        <x:v>161210</x:v>
      </x:c>
      <x:c r="N16" s="51" t="n">
        <x:f>IF(AND(ISNUMBER(N13),ISNUMBER(N14),ISNUMBER('Assumptions'!$D$100),ISNUMBER(M15)),N13-N14+N14*'Assumptions'!$D$100+M15,"n.a.")</x:f>
        <x:v>161210</x:v>
      </x:c>
      <x:c r="O16" s="51" t="n">
        <x:f>IF(AND(ISNUMBER(O13),ISNUMBER(O14),ISNUMBER('Assumptions'!$D$100),ISNUMBER(N15)),O13-O14+O14*'Assumptions'!$D$100+N15,"n.a.")</x:f>
        <x:v>161210</x:v>
      </x:c>
      <x:c r="P16" s="51" t="n">
        <x:f>IF(AND(ISNUMBER(P13),ISNUMBER(P14),ISNUMBER('Assumptions'!$D$100),ISNUMBER(O15)),P13-P14+P14*'Assumptions'!$D$100+O15,"n.a.")</x:f>
        <x:v>161210</x:v>
      </x:c>
      <x:c r="Q16" s="51" t="n">
        <x:f>IF(AND(ISNUMBER(Q13),ISNUMBER(Q14),ISNUMBER('Assumptions'!$D$100),ISNUMBER(P15)),Q13-Q14+Q14*'Assumptions'!$D$100+P15,"n.a.")</x:f>
        <x:v>161210</x:v>
      </x:c>
      <x:c r="R16" s="51" t="n">
        <x:f>IF(AND(ISNUMBER(R13),ISNUMBER(R14),ISNUMBER('Assumptions'!$D$100),ISNUMBER(Q15)),R13-R14+R14*'Assumptions'!$D$100+Q15,"n.a.")</x:f>
        <x:v>161210</x:v>
      </x:c>
    </x:row>
    <x:row r="17" ht="21" customHeight="1">
      <x:c r="A17" s="2"/>
      <x:c r="B17" s="2"/>
      <x:c r="C17" s="2" t="str">
        <x:v>Teaching staff and other center costs</x:v>
      </x:c>
      <x:c r="D17" s="2" t="str">
        <x:v>USD</x:v>
      </x:c>
      <x:c r="E17" s="52" t="n">
        <x:f>IF(COUNT(G17:R17)=12,SUM(G17:R17),"n.a.")</x:f>
        <x:v>1331280</x:v>
      </x:c>
      <x:c r="F17" s="2"/>
      <x:c r="G17" s="51" t="n">
        <x:f>IF(AND('Rooms and Enrollment'!N10="OK"),IF(AND(ISNUMBER(G12),ISNUMBER('Rooms and Enrollment'!$J$10),ISNUMBER('Rooms and Enrollment'!$K$10),ISNUMBER('Assumptions'!$D$67)),(G12*'Rooms and Enrollment'!$J$10+'Rooms and Enrollment'!$K$10)*'Assumptions'!$D$67,"n.a."),"n.a.")</x:f>
        <x:v>110940</x:v>
      </x:c>
      <x:c r="H17" s="51" t="n">
        <x:f>IF(AND('Rooms and Enrollment'!N11="OK"),IF(AND(ISNUMBER(H12),ISNUMBER('Rooms and Enrollment'!$J$11),ISNUMBER('Rooms and Enrollment'!$K$11),ISNUMBER('Assumptions'!$D$67)),(H12*'Rooms and Enrollment'!$J$11+'Rooms and Enrollment'!$K$11)*'Assumptions'!$D$67,"n.a."),"n.a.")</x:f>
        <x:v>110940</x:v>
      </x:c>
      <x:c r="I17" s="51" t="n">
        <x:f>IF(AND('Rooms and Enrollment'!N12="OK"),IF(AND(ISNUMBER(I12),ISNUMBER('Rooms and Enrollment'!$J$12),ISNUMBER('Rooms and Enrollment'!$K$12),ISNUMBER('Assumptions'!$D$67)),(I12*'Rooms and Enrollment'!$J$12+'Rooms and Enrollment'!$K$12)*'Assumptions'!$D$67,"n.a."),"n.a.")</x:f>
        <x:v>110940</x:v>
      </x:c>
      <x:c r="J17" s="51" t="n">
        <x:f>IF(AND('Rooms and Enrollment'!N13="OK"),IF(AND(ISNUMBER(J12),ISNUMBER('Rooms and Enrollment'!$J$13),ISNUMBER('Rooms and Enrollment'!$K$13),ISNUMBER('Assumptions'!$D$67)),(J12*'Rooms and Enrollment'!$J$13+'Rooms and Enrollment'!$K$13)*'Assumptions'!$D$67,"n.a."),"n.a.")</x:f>
        <x:v>110940</x:v>
      </x:c>
      <x:c r="K17" s="51" t="n">
        <x:f>IF(AND('Rooms and Enrollment'!N14="OK"),IF(AND(ISNUMBER(K12),ISNUMBER('Rooms and Enrollment'!$J$14),ISNUMBER('Rooms and Enrollment'!$K$14),ISNUMBER('Assumptions'!$D$67)),(K12*'Rooms and Enrollment'!$J$14+'Rooms and Enrollment'!$K$14)*'Assumptions'!$D$67,"n.a."),"n.a.")</x:f>
        <x:v>110940</x:v>
      </x:c>
      <x:c r="L17" s="51" t="n">
        <x:f>IF(AND('Rooms and Enrollment'!N15="OK"),IF(AND(ISNUMBER(L12),ISNUMBER('Rooms and Enrollment'!$J$15),ISNUMBER('Rooms and Enrollment'!$K$15),ISNUMBER('Assumptions'!$D$67)),(L12*'Rooms and Enrollment'!$J$15+'Rooms and Enrollment'!$K$15)*'Assumptions'!$D$67,"n.a."),"n.a.")</x:f>
        <x:v>110940</x:v>
      </x:c>
      <x:c r="M17" s="51" t="n">
        <x:f>IF(AND('Rooms and Enrollment'!N16="OK"),IF(AND(ISNUMBER(M12),ISNUMBER('Rooms and Enrollment'!$J$16),ISNUMBER('Rooms and Enrollment'!$K$16),ISNUMBER('Assumptions'!$D$67)),(M12*'Rooms and Enrollment'!$J$16+'Rooms and Enrollment'!$K$16)*'Assumptions'!$D$67,"n.a."),"n.a.")</x:f>
        <x:v>110940</x:v>
      </x:c>
      <x:c r="N17" s="51" t="n">
        <x:f>IF(AND('Rooms and Enrollment'!N17="OK"),IF(AND(ISNUMBER(N12),ISNUMBER('Rooms and Enrollment'!$J$17),ISNUMBER('Rooms and Enrollment'!$K$17),ISNUMBER('Assumptions'!$D$67)),(N12*'Rooms and Enrollment'!$J$17+'Rooms and Enrollment'!$K$17)*'Assumptions'!$D$67,"n.a."),"n.a.")</x:f>
        <x:v>110940</x:v>
      </x:c>
      <x:c r="O17" s="51" t="n">
        <x:f>IF(AND('Rooms and Enrollment'!N18="OK"),IF(AND(ISNUMBER(O12),ISNUMBER('Rooms and Enrollment'!$J$18),ISNUMBER('Rooms and Enrollment'!$K$18),ISNUMBER('Assumptions'!$D$67)),(O12*'Rooms and Enrollment'!$J$18+'Rooms and Enrollment'!$K$18)*'Assumptions'!$D$67,"n.a."),"n.a.")</x:f>
        <x:v>110940</x:v>
      </x:c>
      <x:c r="P17" s="51" t="n">
        <x:f>IF(AND('Rooms and Enrollment'!N19="OK"),IF(AND(ISNUMBER(P12),ISNUMBER('Rooms and Enrollment'!$J$19),ISNUMBER('Rooms and Enrollment'!$K$19),ISNUMBER('Assumptions'!$D$67)),(P12*'Rooms and Enrollment'!$J$19+'Rooms and Enrollment'!$K$19)*'Assumptions'!$D$67,"n.a."),"n.a.")</x:f>
        <x:v>110940</x:v>
      </x:c>
      <x:c r="Q17" s="51" t="n">
        <x:f>IF(AND('Rooms and Enrollment'!N20="OK"),IF(AND(ISNUMBER(Q12),ISNUMBER('Rooms and Enrollment'!$J$20),ISNUMBER('Rooms and Enrollment'!$K$20),ISNUMBER('Assumptions'!$D$67)),(Q12*'Rooms and Enrollment'!$J$20+'Rooms and Enrollment'!$K$20)*'Assumptions'!$D$67,"n.a."),"n.a.")</x:f>
        <x:v>110940</x:v>
      </x:c>
      <x:c r="R17" s="51" t="n">
        <x:f>IF(AND('Rooms and Enrollment'!N21="OK"),IF(AND(ISNUMBER(R12),ISNUMBER('Rooms and Enrollment'!$J$21),ISNUMBER('Rooms and Enrollment'!$K$21),ISNUMBER('Assumptions'!$D$67)),(R12*'Rooms and Enrollment'!$J$21+'Rooms and Enrollment'!$K$21)*'Assumptions'!$D$67,"n.a."),"n.a.")</x:f>
        <x:v>110940</x:v>
      </x:c>
    </x:row>
    <x:row r="18" ht="21" customHeight="1">
      <x:c r="A18" s="2"/>
      <x:c r="B18" s="2"/>
      <x:c r="C18" s="2" t="str">
        <x:v>Related rent eliminated in combined cash</x:v>
      </x:c>
      <x:c r="D18" s="2" t="str">
        <x:v>USD</x:v>
      </x:c>
      <x:c r="E18" s="52" t="n">
        <x:f>IF(COUNT(G18:R18)=12,SUM(G18:R18),"n.a.")</x:f>
        <x:v>144000</x:v>
      </x:c>
      <x:c r="F18" s="2"/>
      <x:c r="G18" s="51" t="n">
        <x:f>IF(AND(ISNUMBER('Assumptions'!$D$73)),'Assumptions'!$D$73,"n.a.")</x:f>
        <x:v>12000</x:v>
      </x:c>
      <x:c r="H18" s="51" t="n">
        <x:f>IF(AND(ISNUMBER('Assumptions'!$D$73)),'Assumptions'!$D$73,"n.a.")</x:f>
        <x:v>12000</x:v>
      </x:c>
      <x:c r="I18" s="51" t="n">
        <x:f>IF(AND(ISNUMBER('Assumptions'!$D$73)),'Assumptions'!$D$73,"n.a.")</x:f>
        <x:v>12000</x:v>
      </x:c>
      <x:c r="J18" s="51" t="n">
        <x:f>IF(AND(ISNUMBER('Assumptions'!$D$73)),'Assumptions'!$D$73,"n.a.")</x:f>
        <x:v>12000</x:v>
      </x:c>
      <x:c r="K18" s="51" t="n">
        <x:f>IF(AND(ISNUMBER('Assumptions'!$D$73)),'Assumptions'!$D$73,"n.a.")</x:f>
        <x:v>12000</x:v>
      </x:c>
      <x:c r="L18" s="51" t="n">
        <x:f>IF(AND(ISNUMBER('Assumptions'!$D$73)),'Assumptions'!$D$73,"n.a.")</x:f>
        <x:v>12000</x:v>
      </x:c>
      <x:c r="M18" s="51" t="n">
        <x:f>IF(AND(ISNUMBER('Assumptions'!$D$73)),'Assumptions'!$D$73,"n.a.")</x:f>
        <x:v>12000</x:v>
      </x:c>
      <x:c r="N18" s="51" t="n">
        <x:f>IF(AND(ISNUMBER('Assumptions'!$D$73)),'Assumptions'!$D$73,"n.a.")</x:f>
        <x:v>12000</x:v>
      </x:c>
      <x:c r="O18" s="51" t="n">
        <x:f>IF(AND(ISNUMBER('Assumptions'!$D$73)),'Assumptions'!$D$73,"n.a.")</x:f>
        <x:v>12000</x:v>
      </x:c>
      <x:c r="P18" s="51" t="n">
        <x:f>IF(AND(ISNUMBER('Assumptions'!$D$73)),'Assumptions'!$D$73,"n.a.")</x:f>
        <x:v>12000</x:v>
      </x:c>
      <x:c r="Q18" s="51" t="n">
        <x:f>IF(AND(ISNUMBER('Assumptions'!$D$73)),'Assumptions'!$D$73,"n.a.")</x:f>
        <x:v>12000</x:v>
      </x:c>
      <x:c r="R18" s="51" t="n">
        <x:f>IF(AND(ISNUMBER('Assumptions'!$D$73)),'Assumptions'!$D$73,"n.a.")</x:f>
        <x:v>12000</x:v>
      </x:c>
    </x:row>
    <x:row r="19" ht="21" customHeight="1">
      <x:c r="A19" s="2"/>
      <x:c r="B19" s="2"/>
      <x:c r="C19" s="2" t="str">
        <x:v>Business receipts less related rent</x:v>
      </x:c>
      <x:c r="D19" s="2" t="str">
        <x:v>USD</x:v>
      </x:c>
      <x:c r="E19" s="52" t="n">
        <x:f>IF(COUNT(G19:R19)=12,SUM(G19:R19),"n.a.")</x:f>
        <x:v>1788293.125</x:v>
      </x:c>
      <x:c r="F19" s="2"/>
      <x:c r="G19" s="52" t="n">
        <x:f>IF(AND(ISNUMBER(G16),ISNUMBER(G18)),G16-G18,"n.a.")</x:f>
        <x:v>146983.125</x:v>
      </x:c>
      <x:c r="H19" s="52" t="n">
        <x:f>IF(AND(ISNUMBER(H16),ISNUMBER(H18)),H16-H18,"n.a.")</x:f>
        <x:v>149210</x:v>
      </x:c>
      <x:c r="I19" s="52" t="n">
        <x:f>IF(AND(ISNUMBER(I16),ISNUMBER(I18)),I16-I18,"n.a.")</x:f>
        <x:v>149210</x:v>
      </x:c>
      <x:c r="J19" s="52" t="n">
        <x:f>IF(AND(ISNUMBER(J16),ISNUMBER(J18)),J16-J18,"n.a.")</x:f>
        <x:v>149210</x:v>
      </x:c>
      <x:c r="K19" s="52" t="n">
        <x:f>IF(AND(ISNUMBER(K16),ISNUMBER(K18)),K16-K18,"n.a.")</x:f>
        <x:v>149210</x:v>
      </x:c>
      <x:c r="L19" s="52" t="n">
        <x:f>IF(AND(ISNUMBER(L16),ISNUMBER(L18)),L16-L18,"n.a.")</x:f>
        <x:v>149210</x:v>
      </x:c>
      <x:c r="M19" s="52" t="n">
        <x:f>IF(AND(ISNUMBER(M16),ISNUMBER(M18)),M16-M18,"n.a.")</x:f>
        <x:v>149210</x:v>
      </x:c>
      <x:c r="N19" s="52" t="n">
        <x:f>IF(AND(ISNUMBER(N16),ISNUMBER(N18)),N16-N18,"n.a.")</x:f>
        <x:v>149210</x:v>
      </x:c>
      <x:c r="O19" s="52" t="n">
        <x:f>IF(AND(ISNUMBER(O16),ISNUMBER(O18)),O16-O18,"n.a.")</x:f>
        <x:v>149210</x:v>
      </x:c>
      <x:c r="P19" s="52" t="n">
        <x:f>IF(AND(ISNUMBER(P16),ISNUMBER(P18)),P16-P18,"n.a.")</x:f>
        <x:v>149210</x:v>
      </x:c>
      <x:c r="Q19" s="52" t="n">
        <x:f>IF(AND(ISNUMBER(Q16),ISNUMBER(Q18)),Q16-Q18,"n.a.")</x:f>
        <x:v>149210</x:v>
      </x:c>
      <x:c r="R19" s="52" t="n">
        <x:f>IF(AND(ISNUMBER(R16),ISNUMBER(R18)),R16-R18,"n.a.")</x:f>
        <x:v>149210</x:v>
      </x:c>
    </x:row>
    <x:row r="20" ht="21" customHeight="1">
      <x:c r="A20" s="2"/>
      <x:c r="B20" s="2"/>
      <x:c r="C20" s="56" t="str">
        <x:v>Combined receipts before outside obligations</x:v>
      </x:c>
      <x:c r="D20" s="56" t="str">
        <x:v>USD</x:v>
      </x:c>
      <x:c r="E20" s="57" t="n">
        <x:f>IF(COUNT(G20:R20)=12,SUM(G20:R20),"n.a.")</x:f>
        <x:v>1932293.125</x:v>
      </x:c>
      <x:c r="F20" s="56"/>
      <x:c r="G20" s="57" t="n">
        <x:f>IF(AND(ISNUMBER(G19),ISNUMBER(G18)),G19+G18,"n.a.")</x:f>
        <x:v>158983.125</x:v>
      </x:c>
      <x:c r="H20" s="57" t="n">
        <x:f>IF(AND(ISNUMBER(H19),ISNUMBER(H18)),H19+H18,"n.a.")</x:f>
        <x:v>161210</x:v>
      </x:c>
      <x:c r="I20" s="57" t="n">
        <x:f>IF(AND(ISNUMBER(I19),ISNUMBER(I18)),I19+I18,"n.a.")</x:f>
        <x:v>161210</x:v>
      </x:c>
      <x:c r="J20" s="57" t="n">
        <x:f>IF(AND(ISNUMBER(J19),ISNUMBER(J18)),J19+J18,"n.a.")</x:f>
        <x:v>161210</x:v>
      </x:c>
      <x:c r="K20" s="57" t="n">
        <x:f>IF(AND(ISNUMBER(K19),ISNUMBER(K18)),K19+K18,"n.a.")</x:f>
        <x:v>161210</x:v>
      </x:c>
      <x:c r="L20" s="57" t="n">
        <x:f>IF(AND(ISNUMBER(L19),ISNUMBER(L18)),L19+L18,"n.a.")</x:f>
        <x:v>161210</x:v>
      </x:c>
      <x:c r="M20" s="57" t="n">
        <x:f>IF(AND(ISNUMBER(M19),ISNUMBER(M18)),M19+M18,"n.a.")</x:f>
        <x:v>161210</x:v>
      </x:c>
      <x:c r="N20" s="57" t="n">
        <x:f>IF(AND(ISNUMBER(N19),ISNUMBER(N18)),N19+N18,"n.a.")</x:f>
        <x:v>161210</x:v>
      </x:c>
      <x:c r="O20" s="57" t="n">
        <x:f>IF(AND(ISNUMBER(O19),ISNUMBER(O18)),O19+O18,"n.a.")</x:f>
        <x:v>161210</x:v>
      </x:c>
      <x:c r="P20" s="57" t="n">
        <x:f>IF(AND(ISNUMBER(P19),ISNUMBER(P18)),P19+P18,"n.a.")</x:f>
        <x:v>161210</x:v>
      </x:c>
      <x:c r="Q20" s="57" t="n">
        <x:f>IF(AND(ISNUMBER(Q19),ISNUMBER(Q18)),Q19+Q18,"n.a.")</x:f>
        <x:v>161210</x:v>
      </x:c>
      <x:c r="R20" s="57" t="n">
        <x:f>IF(AND(ISNUMBER(R19),ISNUMBER(R18)),R19+R18,"n.a.")</x:f>
        <x:v>161210</x:v>
      </x:c>
    </x:row>
    <x:row r="21" ht="21" customHeight="1">
      <x:c r="A21" s="2"/>
      <x:c r="B21" s="2"/>
      <x:c r="C21" s="2" t="str">
        <x:v>External property cash costs</x:v>
      </x:c>
      <x:c r="D21" s="2" t="str">
        <x:v>USD</x:v>
      </x:c>
      <x:c r="E21" s="52" t="n">
        <x:f>IF(COUNT(G21:R21)=12,SUM(G21:R21),"n.a.")</x:f>
        <x:v>72000</x:v>
      </x:c>
      <x:c r="F21" s="2"/>
      <x:c r="G21" s="51" t="n">
        <x:f>IF(AND(ISNUMBER('Assumptions'!$D$76),ISNUMBER('Assumptions'!$D$67)),'Assumptions'!$D$76*'Assumptions'!$D$67,"n.a.")</x:f>
        <x:v>6000</x:v>
      </x:c>
      <x:c r="H21" s="51" t="n">
        <x:f>IF(AND(ISNUMBER('Assumptions'!$D$76),ISNUMBER('Assumptions'!$D$67)),'Assumptions'!$D$76*'Assumptions'!$D$67,"n.a.")</x:f>
        <x:v>6000</x:v>
      </x:c>
      <x:c r="I21" s="51" t="n">
        <x:f>IF(AND(ISNUMBER('Assumptions'!$D$76),ISNUMBER('Assumptions'!$D$67)),'Assumptions'!$D$76*'Assumptions'!$D$67,"n.a.")</x:f>
        <x:v>6000</x:v>
      </x:c>
      <x:c r="J21" s="51" t="n">
        <x:f>IF(AND(ISNUMBER('Assumptions'!$D$76),ISNUMBER('Assumptions'!$D$67)),'Assumptions'!$D$76*'Assumptions'!$D$67,"n.a.")</x:f>
        <x:v>6000</x:v>
      </x:c>
      <x:c r="K21" s="51" t="n">
        <x:f>IF(AND(ISNUMBER('Assumptions'!$D$76),ISNUMBER('Assumptions'!$D$67)),'Assumptions'!$D$76*'Assumptions'!$D$67,"n.a.")</x:f>
        <x:v>6000</x:v>
      </x:c>
      <x:c r="L21" s="51" t="n">
        <x:f>IF(AND(ISNUMBER('Assumptions'!$D$76),ISNUMBER('Assumptions'!$D$67)),'Assumptions'!$D$76*'Assumptions'!$D$67,"n.a.")</x:f>
        <x:v>6000</x:v>
      </x:c>
      <x:c r="M21" s="51" t="n">
        <x:f>IF(AND(ISNUMBER('Assumptions'!$D$76),ISNUMBER('Assumptions'!$D$67)),'Assumptions'!$D$76*'Assumptions'!$D$67,"n.a.")</x:f>
        <x:v>6000</x:v>
      </x:c>
      <x:c r="N21" s="51" t="n">
        <x:f>IF(AND(ISNUMBER('Assumptions'!$D$76),ISNUMBER('Assumptions'!$D$67)),'Assumptions'!$D$76*'Assumptions'!$D$67,"n.a.")</x:f>
        <x:v>6000</x:v>
      </x:c>
      <x:c r="O21" s="51" t="n">
        <x:f>IF(AND(ISNUMBER('Assumptions'!$D$76),ISNUMBER('Assumptions'!$D$67)),'Assumptions'!$D$76*'Assumptions'!$D$67,"n.a.")</x:f>
        <x:v>6000</x:v>
      </x:c>
      <x:c r="P21" s="51" t="n">
        <x:f>IF(AND(ISNUMBER('Assumptions'!$D$76),ISNUMBER('Assumptions'!$D$67)),'Assumptions'!$D$76*'Assumptions'!$D$67,"n.a.")</x:f>
        <x:v>6000</x:v>
      </x:c>
      <x:c r="Q21" s="51" t="n">
        <x:f>IF(AND(ISNUMBER('Assumptions'!$D$76),ISNUMBER('Assumptions'!$D$67)),'Assumptions'!$D$76*'Assumptions'!$D$67,"n.a.")</x:f>
        <x:v>6000</x:v>
      </x:c>
      <x:c r="R21" s="51" t="n">
        <x:f>IF(AND(ISNUMBER('Assumptions'!$D$76),ISNUMBER('Assumptions'!$D$67)),'Assumptions'!$D$76*'Assumptions'!$D$67,"n.a.")</x:f>
        <x:v>6000</x:v>
      </x:c>
    </x:row>
    <x:row r="22" ht="21" customHeight="1">
      <x:c r="A22" s="2"/>
      <x:c r="B22" s="2"/>
      <x:c r="C22" s="2" t="str">
        <x:v>Other business debt service</x:v>
      </x:c>
      <x:c r="D22" s="2" t="str">
        <x:v>USD</x:v>
      </x:c>
      <x:c r="E22" s="52" t="n">
        <x:f>IF(COUNT(G22:R22)=12,SUM(G22:R22),"n.a.")</x:f>
        <x:v>72000</x:v>
      </x:c>
      <x:c r="F22" s="2"/>
      <x:c r="G22" s="51" t="n">
        <x:f>IF(AND(ISNUMBER('Assumptions'!$D$79)),'Assumptions'!$D$79,"n.a.")</x:f>
        <x:v>6000</x:v>
      </x:c>
      <x:c r="H22" s="51" t="n">
        <x:f>IF(AND(ISNUMBER('Assumptions'!$D$79)),'Assumptions'!$D$79,"n.a.")</x:f>
        <x:v>6000</x:v>
      </x:c>
      <x:c r="I22" s="51" t="n">
        <x:f>IF(AND(ISNUMBER('Assumptions'!$D$79)),'Assumptions'!$D$79,"n.a.")</x:f>
        <x:v>6000</x:v>
      </x:c>
      <x:c r="J22" s="51" t="n">
        <x:f>IF(AND(ISNUMBER('Assumptions'!$D$79)),'Assumptions'!$D$79,"n.a.")</x:f>
        <x:v>6000</x:v>
      </x:c>
      <x:c r="K22" s="51" t="n">
        <x:f>IF(AND(ISNUMBER('Assumptions'!$D$79)),'Assumptions'!$D$79,"n.a.")</x:f>
        <x:v>6000</x:v>
      </x:c>
      <x:c r="L22" s="51" t="n">
        <x:f>IF(AND(ISNUMBER('Assumptions'!$D$79)),'Assumptions'!$D$79,"n.a.")</x:f>
        <x:v>6000</x:v>
      </x:c>
      <x:c r="M22" s="51" t="n">
        <x:f>IF(AND(ISNUMBER('Assumptions'!$D$79)),'Assumptions'!$D$79,"n.a.")</x:f>
        <x:v>6000</x:v>
      </x:c>
      <x:c r="N22" s="51" t="n">
        <x:f>IF(AND(ISNUMBER('Assumptions'!$D$79)),'Assumptions'!$D$79,"n.a.")</x:f>
        <x:v>6000</x:v>
      </x:c>
      <x:c r="O22" s="51" t="n">
        <x:f>IF(AND(ISNUMBER('Assumptions'!$D$79)),'Assumptions'!$D$79,"n.a.")</x:f>
        <x:v>6000</x:v>
      </x:c>
      <x:c r="P22" s="51" t="n">
        <x:f>IF(AND(ISNUMBER('Assumptions'!$D$79)),'Assumptions'!$D$79,"n.a.")</x:f>
        <x:v>6000</x:v>
      </x:c>
      <x:c r="Q22" s="51" t="n">
        <x:f>IF(AND(ISNUMBER('Assumptions'!$D$79)),'Assumptions'!$D$79,"n.a.")</x:f>
        <x:v>6000</x:v>
      </x:c>
      <x:c r="R22" s="51" t="n">
        <x:f>IF(AND(ISNUMBER('Assumptions'!$D$79)),'Assumptions'!$D$79,"n.a.")</x:f>
        <x:v>6000</x:v>
      </x:c>
    </x:row>
    <x:row r="23" ht="21" customHeight="1">
      <x:c r="A23" s="2"/>
      <x:c r="B23" s="2"/>
      <x:c r="C23" s="2" t="str">
        <x:v>Cash taxes and distributions</x:v>
      </x:c>
      <x:c r="D23" s="2" t="str">
        <x:v>USD</x:v>
      </x:c>
      <x:c r="E23" s="52" t="n">
        <x:f>IF(COUNT(G23:R23)=12,SUM(G23:R23),"n.a.")</x:f>
        <x:v>36000</x:v>
      </x:c>
      <x:c r="F23" s="2"/>
      <x:c r="G23" s="51" t="n">
        <x:f>IF(AND(ISNUMBER('Assumptions'!$D$82)),'Assumptions'!$D$82,"n.a.")</x:f>
        <x:v>3000</x:v>
      </x:c>
      <x:c r="H23" s="51" t="n">
        <x:f>IF(AND(ISNUMBER('Assumptions'!$D$82)),'Assumptions'!$D$82,"n.a.")</x:f>
        <x:v>3000</x:v>
      </x:c>
      <x:c r="I23" s="51" t="n">
        <x:f>IF(AND(ISNUMBER('Assumptions'!$D$82)),'Assumptions'!$D$82,"n.a.")</x:f>
        <x:v>3000</x:v>
      </x:c>
      <x:c r="J23" s="51" t="n">
        <x:f>IF(AND(ISNUMBER('Assumptions'!$D$82)),'Assumptions'!$D$82,"n.a.")</x:f>
        <x:v>3000</x:v>
      </x:c>
      <x:c r="K23" s="51" t="n">
        <x:f>IF(AND(ISNUMBER('Assumptions'!$D$82)),'Assumptions'!$D$82,"n.a.")</x:f>
        <x:v>3000</x:v>
      </x:c>
      <x:c r="L23" s="51" t="n">
        <x:f>IF(AND(ISNUMBER('Assumptions'!$D$82)),'Assumptions'!$D$82,"n.a.")</x:f>
        <x:v>3000</x:v>
      </x:c>
      <x:c r="M23" s="51" t="n">
        <x:f>IF(AND(ISNUMBER('Assumptions'!$D$82)),'Assumptions'!$D$82,"n.a.")</x:f>
        <x:v>3000</x:v>
      </x:c>
      <x:c r="N23" s="51" t="n">
        <x:f>IF(AND(ISNUMBER('Assumptions'!$D$82)),'Assumptions'!$D$82,"n.a.")</x:f>
        <x:v>3000</x:v>
      </x:c>
      <x:c r="O23" s="51" t="n">
        <x:f>IF(AND(ISNUMBER('Assumptions'!$D$82)),'Assumptions'!$D$82,"n.a.")</x:f>
        <x:v>3000</x:v>
      </x:c>
      <x:c r="P23" s="51" t="n">
        <x:f>IF(AND(ISNUMBER('Assumptions'!$D$82)),'Assumptions'!$D$82,"n.a.")</x:f>
        <x:v>3000</x:v>
      </x:c>
      <x:c r="Q23" s="51" t="n">
        <x:f>IF(AND(ISNUMBER('Assumptions'!$D$82)),'Assumptions'!$D$82,"n.a.")</x:f>
        <x:v>3000</x:v>
      </x:c>
      <x:c r="R23" s="51" t="n">
        <x:f>IF(AND(ISNUMBER('Assumptions'!$D$82)),'Assumptions'!$D$82,"n.a.")</x:f>
        <x:v>3000</x:v>
      </x:c>
    </x:row>
    <x:row r="24" ht="21" customHeight="1">
      <x:c r="A24" s="2"/>
      <x:c r="B24" s="2"/>
      <x:c r="C24" s="2" t="str">
        <x:v>Maintenance capital deducted once</x:v>
      </x:c>
      <x:c r="D24" s="2" t="str">
        <x:v>USD</x:v>
      </x:c>
      <x:c r="E24" s="52" t="n">
        <x:f>IF(COUNT(G24:R24)=12,SUM(G24:R24),"n.a.")</x:f>
        <x:v>18000</x:v>
      </x:c>
      <x:c r="F24" s="2"/>
      <x:c r="G24" s="51" t="n">
        <x:f>IF(AND(ISNUMBER('Assumptions'!$D$85),ISNUMBER('Assumptions'!$D$70)),'Assumptions'!$D$85*'Assumptions'!$D$70,"n.a.")</x:f>
        <x:v>1500</x:v>
      </x:c>
      <x:c r="H24" s="51" t="n">
        <x:f>IF(AND(ISNUMBER('Assumptions'!$D$85),ISNUMBER('Assumptions'!$D$70)),'Assumptions'!$D$85*'Assumptions'!$D$70,"n.a.")</x:f>
        <x:v>1500</x:v>
      </x:c>
      <x:c r="I24" s="51" t="n">
        <x:f>IF(AND(ISNUMBER('Assumptions'!$D$85),ISNUMBER('Assumptions'!$D$70)),'Assumptions'!$D$85*'Assumptions'!$D$70,"n.a.")</x:f>
        <x:v>1500</x:v>
      </x:c>
      <x:c r="J24" s="51" t="n">
        <x:f>IF(AND(ISNUMBER('Assumptions'!$D$85),ISNUMBER('Assumptions'!$D$70)),'Assumptions'!$D$85*'Assumptions'!$D$70,"n.a.")</x:f>
        <x:v>1500</x:v>
      </x:c>
      <x:c r="K24" s="51" t="n">
        <x:f>IF(AND(ISNUMBER('Assumptions'!$D$85),ISNUMBER('Assumptions'!$D$70)),'Assumptions'!$D$85*'Assumptions'!$D$70,"n.a.")</x:f>
        <x:v>1500</x:v>
      </x:c>
      <x:c r="L24" s="51" t="n">
        <x:f>IF(AND(ISNUMBER('Assumptions'!$D$85),ISNUMBER('Assumptions'!$D$70)),'Assumptions'!$D$85*'Assumptions'!$D$70,"n.a.")</x:f>
        <x:v>1500</x:v>
      </x:c>
      <x:c r="M24" s="51" t="n">
        <x:f>IF(AND(ISNUMBER('Assumptions'!$D$85),ISNUMBER('Assumptions'!$D$70)),'Assumptions'!$D$85*'Assumptions'!$D$70,"n.a.")</x:f>
        <x:v>1500</x:v>
      </x:c>
      <x:c r="N24" s="51" t="n">
        <x:f>IF(AND(ISNUMBER('Assumptions'!$D$85),ISNUMBER('Assumptions'!$D$70)),'Assumptions'!$D$85*'Assumptions'!$D$70,"n.a.")</x:f>
        <x:v>1500</x:v>
      </x:c>
      <x:c r="O24" s="51" t="n">
        <x:f>IF(AND(ISNUMBER('Assumptions'!$D$85),ISNUMBER('Assumptions'!$D$70)),'Assumptions'!$D$85*'Assumptions'!$D$70,"n.a.")</x:f>
        <x:v>1500</x:v>
      </x:c>
      <x:c r="P24" s="51" t="n">
        <x:f>IF(AND(ISNUMBER('Assumptions'!$D$85),ISNUMBER('Assumptions'!$D$70)),'Assumptions'!$D$85*'Assumptions'!$D$70,"n.a.")</x:f>
        <x:v>1500</x:v>
      </x:c>
      <x:c r="Q24" s="51" t="n">
        <x:f>IF(AND(ISNUMBER('Assumptions'!$D$85),ISNUMBER('Assumptions'!$D$70)),'Assumptions'!$D$85*'Assumptions'!$D$70,"n.a.")</x:f>
        <x:v>1500</x:v>
      </x:c>
      <x:c r="R24" s="51" t="n">
        <x:f>IF(AND(ISNUMBER('Assumptions'!$D$85),ISNUMBER('Assumptions'!$D$70)),'Assumptions'!$D$85*'Assumptions'!$D$70,"n.a.")</x:f>
        <x:v>1500</x:v>
      </x:c>
    </x:row>
    <x:row r="25" ht="21" customHeight="1">
      <x:c r="A25" s="2"/>
      <x:c r="B25" s="2"/>
      <x:c r="C25" s="2" t="str">
        <x:v>Operating and outside cash obligations</x:v>
      </x:c>
      <x:c r="D25" s="2" t="str">
        <x:v>USD</x:v>
      </x:c>
      <x:c r="E25" s="52" t="n">
        <x:f>IF(COUNT(G25:R25)=12,SUM(G25:R25),"n.a.")</x:f>
        <x:v>1529280</x:v>
      </x:c>
      <x:c r="F25" s="2"/>
      <x:c r="G25" s="52" t="n">
        <x:f>IF(AND(ISNUMBER(G17),ISNUMBER(G21),ISNUMBER(G22),ISNUMBER(G23),ISNUMBER(G24)),G17+G21+G22+G23+G24,"n.a.")</x:f>
        <x:v>127440</x:v>
      </x:c>
      <x:c r="H25" s="52" t="n">
        <x:f>IF(AND(ISNUMBER(H17),ISNUMBER(H21),ISNUMBER(H22),ISNUMBER(H23),ISNUMBER(H24)),H17+H21+H22+H23+H24,"n.a.")</x:f>
        <x:v>127440</x:v>
      </x:c>
      <x:c r="I25" s="52" t="n">
        <x:f>IF(AND(ISNUMBER(I17),ISNUMBER(I21),ISNUMBER(I22),ISNUMBER(I23),ISNUMBER(I24)),I17+I21+I22+I23+I24,"n.a.")</x:f>
        <x:v>127440</x:v>
      </x:c>
      <x:c r="J25" s="52" t="n">
        <x:f>IF(AND(ISNUMBER(J17),ISNUMBER(J21),ISNUMBER(J22),ISNUMBER(J23),ISNUMBER(J24)),J17+J21+J22+J23+J24,"n.a.")</x:f>
        <x:v>127440</x:v>
      </x:c>
      <x:c r="K25" s="52" t="n">
        <x:f>IF(AND(ISNUMBER(K17),ISNUMBER(K21),ISNUMBER(K22),ISNUMBER(K23),ISNUMBER(K24)),K17+K21+K22+K23+K24,"n.a.")</x:f>
        <x:v>127440</x:v>
      </x:c>
      <x:c r="L25" s="52" t="n">
        <x:f>IF(AND(ISNUMBER(L17),ISNUMBER(L21),ISNUMBER(L22),ISNUMBER(L23),ISNUMBER(L24)),L17+L21+L22+L23+L24,"n.a.")</x:f>
        <x:v>127440</x:v>
      </x:c>
      <x:c r="M25" s="52" t="n">
        <x:f>IF(AND(ISNUMBER(M17),ISNUMBER(M21),ISNUMBER(M22),ISNUMBER(M23),ISNUMBER(M24)),M17+M21+M22+M23+M24,"n.a.")</x:f>
        <x:v>127440</x:v>
      </x:c>
      <x:c r="N25" s="52" t="n">
        <x:f>IF(AND(ISNUMBER(N17),ISNUMBER(N21),ISNUMBER(N22),ISNUMBER(N23),ISNUMBER(N24)),N17+N21+N22+N23+N24,"n.a.")</x:f>
        <x:v>127440</x:v>
      </x:c>
      <x:c r="O25" s="52" t="n">
        <x:f>IF(AND(ISNUMBER(O17),ISNUMBER(O21),ISNUMBER(O22),ISNUMBER(O23),ISNUMBER(O24)),O17+O21+O22+O23+O24,"n.a.")</x:f>
        <x:v>127440</x:v>
      </x:c>
      <x:c r="P25" s="52" t="n">
        <x:f>IF(AND(ISNUMBER(P17),ISNUMBER(P21),ISNUMBER(P22),ISNUMBER(P23),ISNUMBER(P24)),P17+P21+P22+P23+P24,"n.a.")</x:f>
        <x:v>127440</x:v>
      </x:c>
      <x:c r="Q25" s="52" t="n">
        <x:f>IF(AND(ISNUMBER(Q17),ISNUMBER(Q21),ISNUMBER(Q22),ISNUMBER(Q23),ISNUMBER(Q24)),Q17+Q21+Q22+Q23+Q24,"n.a.")</x:f>
        <x:v>127440</x:v>
      </x:c>
      <x:c r="R25" s="52" t="n">
        <x:f>IF(AND(ISNUMBER(R17),ISNUMBER(R21),ISNUMBER(R22),ISNUMBER(R23),ISNUMBER(R24)),R17+R21+R22+R23+R24,"n.a.")</x:f>
        <x:v>127440</x:v>
      </x:c>
    </x:row>
    <x:row r="26" ht="21" customHeight="1">
      <x:c r="A26" s="2"/>
      <x:c r="B26" s="2"/>
      <x:c r="C26" s="2" t="str">
        <x:v>Additional expansion / property capital</x:v>
      </x:c>
      <x:c r="D26" s="2" t="str">
        <x:v>USD</x:v>
      </x:c>
      <x:c r="E26" s="52" t="n">
        <x:f>IF(COUNT(G26:R26)=12,SUM(G26:R26),"n.a.")</x:f>
        <x:v>60000</x:v>
      </x:c>
      <x:c r="F26" s="2"/>
      <x:c r="G26" s="51" t="n">
        <x:f>IF(AND('Rooms and Enrollment'!N10="OK"),IF(AND(ISNUMBER('Rooms and Enrollment'!$M$10),ISNUMBER('Assumptions'!$D$70)),'Rooms and Enrollment'!$M$10*'Assumptions'!$D$70,"n.a."),"n.a.")</x:f>
        <x:v>0</x:v>
      </x:c>
      <x:c r="H26" s="51" t="n">
        <x:f>IF(AND('Rooms and Enrollment'!N11="OK"),IF(AND(ISNUMBER('Rooms and Enrollment'!$M$11),ISNUMBER('Assumptions'!$D$70)),'Rooms and Enrollment'!$M$11*'Assumptions'!$D$70,"n.a."),"n.a.")</x:f>
        <x:v>0</x:v>
      </x:c>
      <x:c r="I26" s="51" t="n">
        <x:f>IF(AND('Rooms and Enrollment'!N12="OK"),IF(AND(ISNUMBER('Rooms and Enrollment'!$M$12),ISNUMBER('Assumptions'!$D$70)),'Rooms and Enrollment'!$M$12*'Assumptions'!$D$70,"n.a."),"n.a.")</x:f>
        <x:v>0</x:v>
      </x:c>
      <x:c r="J26" s="51" t="n">
        <x:f>IF(AND('Rooms and Enrollment'!N13="OK"),IF(AND(ISNUMBER('Rooms and Enrollment'!$M$13),ISNUMBER('Assumptions'!$D$70)),'Rooms and Enrollment'!$M$13*'Assumptions'!$D$70,"n.a."),"n.a.")</x:f>
        <x:v>0</x:v>
      </x:c>
      <x:c r="K26" s="51" t="n">
        <x:f>IF(AND('Rooms and Enrollment'!N14="OK"),IF(AND(ISNUMBER('Rooms and Enrollment'!$M$14),ISNUMBER('Assumptions'!$D$70)),'Rooms and Enrollment'!$M$14*'Assumptions'!$D$70,"n.a."),"n.a.")</x:f>
        <x:v>0</x:v>
      </x:c>
      <x:c r="L26" s="51" t="n">
        <x:f>IF(AND('Rooms and Enrollment'!N15="OK"),IF(AND(ISNUMBER('Rooms and Enrollment'!$M$15),ISNUMBER('Assumptions'!$D$70)),'Rooms and Enrollment'!$M$15*'Assumptions'!$D$70,"n.a."),"n.a.")</x:f>
        <x:v>60000</x:v>
      </x:c>
      <x:c r="M26" s="51" t="n">
        <x:f>IF(AND('Rooms and Enrollment'!N16="OK"),IF(AND(ISNUMBER('Rooms and Enrollment'!$M$16),ISNUMBER('Assumptions'!$D$70)),'Rooms and Enrollment'!$M$16*'Assumptions'!$D$70,"n.a."),"n.a.")</x:f>
        <x:v>0</x:v>
      </x:c>
      <x:c r="N26" s="51" t="n">
        <x:f>IF(AND('Rooms and Enrollment'!N17="OK"),IF(AND(ISNUMBER('Rooms and Enrollment'!$M$17),ISNUMBER('Assumptions'!$D$70)),'Rooms and Enrollment'!$M$17*'Assumptions'!$D$70,"n.a."),"n.a.")</x:f>
        <x:v>0</x:v>
      </x:c>
      <x:c r="O26" s="51" t="n">
        <x:f>IF(AND('Rooms and Enrollment'!N18="OK"),IF(AND(ISNUMBER('Rooms and Enrollment'!$M$18),ISNUMBER('Assumptions'!$D$70)),'Rooms and Enrollment'!$M$18*'Assumptions'!$D$70,"n.a."),"n.a.")</x:f>
        <x:v>0</x:v>
      </x:c>
      <x:c r="P26" s="51" t="n">
        <x:f>IF(AND('Rooms and Enrollment'!N19="OK"),IF(AND(ISNUMBER('Rooms and Enrollment'!$M$19),ISNUMBER('Assumptions'!$D$70)),'Rooms and Enrollment'!$M$19*'Assumptions'!$D$70,"n.a."),"n.a.")</x:f>
        <x:v>0</x:v>
      </x:c>
      <x:c r="Q26" s="51" t="n">
        <x:f>IF(AND('Rooms and Enrollment'!N20="OK"),IF(AND(ISNUMBER('Rooms and Enrollment'!$M$20),ISNUMBER('Assumptions'!$D$70)),'Rooms and Enrollment'!$M$20*'Assumptions'!$D$70,"n.a."),"n.a.")</x:f>
        <x:v>0</x:v>
      </x:c>
      <x:c r="R26" s="51" t="n">
        <x:f>IF(AND('Rooms and Enrollment'!N21="OK"),IF(AND(ISNUMBER('Rooms and Enrollment'!$M$21),ISNUMBER('Assumptions'!$D$70)),'Rooms and Enrollment'!$M$21*'Assumptions'!$D$70,"n.a."),"n.a.")</x:f>
        <x:v>0</x:v>
      </x:c>
    </x:row>
    <x:row r="27" ht="21" customHeight="1">
      <x:c r="A27" s="2"/>
      <x:c r="B27" s="2"/>
      <x:c r="C27" s="2" t="str">
        <x:v>Fixed property / entity costs</x:v>
      </x:c>
      <x:c r="D27" s="2" t="str">
        <x:v>USD</x:v>
      </x:c>
      <x:c r="E27" s="52" t="n">
        <x:f>IF(COUNT(G27:R27)=12,SUM(G27:R27),"n.a.")</x:f>
        <x:v>0</x:v>
      </x:c>
      <x:c r="F27" s="2"/>
      <x:c r="G27" s="51" t="n">
        <x:f>IF(AND(ISNUMBER('Assumptions'!$D$55)),'Assumptions'!$D$55/12,"n.a.")</x:f>
        <x:v>0</x:v>
      </x:c>
      <x:c r="H27" s="51" t="n">
        <x:f>IF(AND(ISNUMBER('Assumptions'!$D$55)),'Assumptions'!$D$55/12,"n.a.")</x:f>
        <x:v>0</x:v>
      </x:c>
      <x:c r="I27" s="51" t="n">
        <x:f>IF(AND(ISNUMBER('Assumptions'!$D$55)),'Assumptions'!$D$55/12,"n.a.")</x:f>
        <x:v>0</x:v>
      </x:c>
      <x:c r="J27" s="51" t="n">
        <x:f>IF(AND(ISNUMBER('Assumptions'!$D$55)),'Assumptions'!$D$55/12,"n.a.")</x:f>
        <x:v>0</x:v>
      </x:c>
      <x:c r="K27" s="51" t="n">
        <x:f>IF(AND(ISNUMBER('Assumptions'!$D$55)),'Assumptions'!$D$55/12,"n.a.")</x:f>
        <x:v>0</x:v>
      </x:c>
      <x:c r="L27" s="51" t="n">
        <x:f>IF(AND(ISNUMBER('Assumptions'!$D$55)),'Assumptions'!$D$55/12,"n.a.")</x:f>
        <x:v>0</x:v>
      </x:c>
      <x:c r="M27" s="51" t="n">
        <x:f>IF(AND(ISNUMBER('Assumptions'!$D$55)),'Assumptions'!$D$55/12,"n.a.")</x:f>
        <x:v>0</x:v>
      </x:c>
      <x:c r="N27" s="51" t="n">
        <x:f>IF(AND(ISNUMBER('Assumptions'!$D$55)),'Assumptions'!$D$55/12,"n.a.")</x:f>
        <x:v>0</x:v>
      </x:c>
      <x:c r="O27" s="51" t="n">
        <x:f>IF(AND(ISNUMBER('Assumptions'!$D$55)),'Assumptions'!$D$55/12,"n.a.")</x:f>
        <x:v>0</x:v>
      </x:c>
      <x:c r="P27" s="51" t="n">
        <x:f>IF(AND(ISNUMBER('Assumptions'!$D$55)),'Assumptions'!$D$55/12,"n.a.")</x:f>
        <x:v>0</x:v>
      </x:c>
      <x:c r="Q27" s="51" t="n">
        <x:f>IF(AND(ISNUMBER('Assumptions'!$D$55)),'Assumptions'!$D$55/12,"n.a.")</x:f>
        <x:v>0</x:v>
      </x:c>
      <x:c r="R27" s="51" t="n">
        <x:f>IF(AND(ISNUMBER('Assumptions'!$D$55)),'Assumptions'!$D$55/12,"n.a.")</x:f>
        <x:v>0</x:v>
      </x:c>
    </x:row>
    <x:row r="28" ht="21" customHeight="1">
      <x:c r="A28" s="2"/>
      <x:c r="B28" s="2"/>
      <x:c r="C28" s="56" t="str">
        <x:v>Total cash operating costs</x:v>
      </x:c>
      <x:c r="D28" s="56" t="str">
        <x:v>USD</x:v>
      </x:c>
      <x:c r="E28" s="57" t="n">
        <x:f>IF(COUNT(G28:R28)=12,SUM(G28:R28),"n.a.")</x:f>
        <x:v>1529280</x:v>
      </x:c>
      <x:c r="F28" s="56"/>
      <x:c r="G28" s="57" t="n">
        <x:f>IF(AND(ISNUMBER(G25),ISNUMBER(G27)),G25+G27,"n.a.")</x:f>
        <x:v>127440</x:v>
      </x:c>
      <x:c r="H28" s="57" t="n">
        <x:f>IF(AND(ISNUMBER(H25),ISNUMBER(H27)),H25+H27,"n.a.")</x:f>
        <x:v>127440</x:v>
      </x:c>
      <x:c r="I28" s="57" t="n">
        <x:f>IF(AND(ISNUMBER(I25),ISNUMBER(I27)),I25+I27,"n.a.")</x:f>
        <x:v>127440</x:v>
      </x:c>
      <x:c r="J28" s="57" t="n">
        <x:f>IF(AND(ISNUMBER(J25),ISNUMBER(J27)),J25+J27,"n.a.")</x:f>
        <x:v>127440</x:v>
      </x:c>
      <x:c r="K28" s="57" t="n">
        <x:f>IF(AND(ISNUMBER(K25),ISNUMBER(K27)),K25+K27,"n.a.")</x:f>
        <x:v>127440</x:v>
      </x:c>
      <x:c r="L28" s="57" t="n">
        <x:f>IF(AND(ISNUMBER(L25),ISNUMBER(L27)),L25+L27,"n.a.")</x:f>
        <x:v>127440</x:v>
      </x:c>
      <x:c r="M28" s="57" t="n">
        <x:f>IF(AND(ISNUMBER(M25),ISNUMBER(M27)),M25+M27,"n.a.")</x:f>
        <x:v>127440</x:v>
      </x:c>
      <x:c r="N28" s="57" t="n">
        <x:f>IF(AND(ISNUMBER(N25),ISNUMBER(N27)),N25+N27,"n.a.")</x:f>
        <x:v>127440</x:v>
      </x:c>
      <x:c r="O28" s="57" t="n">
        <x:f>IF(AND(ISNUMBER(O25),ISNUMBER(O27)),O25+O27,"n.a.")</x:f>
        <x:v>127440</x:v>
      </x:c>
      <x:c r="P28" s="57" t="n">
        <x:f>IF(AND(ISNUMBER(P25),ISNUMBER(P27)),P25+P27,"n.a.")</x:f>
        <x:v>127440</x:v>
      </x:c>
      <x:c r="Q28" s="57" t="n">
        <x:f>IF(AND(ISNUMBER(Q25),ISNUMBER(Q27)),Q25+Q27,"n.a.")</x:f>
        <x:v>127440</x:v>
      </x:c>
      <x:c r="R28" s="57" t="n">
        <x:f>IF(AND(ISNUMBER(R25),ISNUMBER(R27)),R25+R27,"n.a.")</x:f>
        <x:v>127440</x:v>
      </x:c>
    </x:row>
    <x:row r="29" ht="21" customHeight="1">
      <x:c r="A29" s="2"/>
      <x:c r="B29" s="2"/>
      <x:c r="C29" s="56" t="str">
        <x:v>Combined cash after listed obligations</x:v>
      </x:c>
      <x:c r="D29" s="56" t="str">
        <x:v>USD</x:v>
      </x:c>
      <x:c r="E29" s="57" t="n">
        <x:f>IF(COUNT(G29:R29)=12,SUM(G29:R29),"n.a.")</x:f>
        <x:v>403013.125</x:v>
      </x:c>
      <x:c r="F29" s="56"/>
      <x:c r="G29" s="57" t="n">
        <x:f>IF(AND(ISNUMBER(G20),ISNUMBER(G28)),G20-G28,"n.a.")</x:f>
        <x:v>31543.125</x:v>
      </x:c>
      <x:c r="H29" s="57" t="n">
        <x:f>IF(AND(ISNUMBER(H20),ISNUMBER(H28)),H20-H28,"n.a.")</x:f>
        <x:v>33770</x:v>
      </x:c>
      <x:c r="I29" s="57" t="n">
        <x:f>IF(AND(ISNUMBER(I20),ISNUMBER(I28)),I20-I28,"n.a.")</x:f>
        <x:v>33770</x:v>
      </x:c>
      <x:c r="J29" s="57" t="n">
        <x:f>IF(AND(ISNUMBER(J20),ISNUMBER(J28)),J20-J28,"n.a.")</x:f>
        <x:v>33770</x:v>
      </x:c>
      <x:c r="K29" s="57" t="n">
        <x:f>IF(AND(ISNUMBER(K20),ISNUMBER(K28)),K20-K28,"n.a.")</x:f>
        <x:v>33770</x:v>
      </x:c>
      <x:c r="L29" s="57" t="n">
        <x:f>IF(AND(ISNUMBER(L20),ISNUMBER(L28)),L20-L28,"n.a.")</x:f>
        <x:v>33770</x:v>
      </x:c>
      <x:c r="M29" s="57" t="n">
        <x:f>IF(AND(ISNUMBER(M20),ISNUMBER(M28)),M20-M28,"n.a.")</x:f>
        <x:v>33770</x:v>
      </x:c>
      <x:c r="N29" s="57" t="n">
        <x:f>IF(AND(ISNUMBER(N20),ISNUMBER(N28)),N20-N28,"n.a.")</x:f>
        <x:v>33770</x:v>
      </x:c>
      <x:c r="O29" s="57" t="n">
        <x:f>IF(AND(ISNUMBER(O20),ISNUMBER(O28)),O20-O28,"n.a.")</x:f>
        <x:v>33770</x:v>
      </x:c>
      <x:c r="P29" s="57" t="n">
        <x:f>IF(AND(ISNUMBER(P20),ISNUMBER(P28)),P20-P28,"n.a.")</x:f>
        <x:v>33770</x:v>
      </x:c>
      <x:c r="Q29" s="57" t="n">
        <x:f>IF(AND(ISNUMBER(Q20),ISNUMBER(Q28)),Q20-Q28,"n.a.")</x:f>
        <x:v>33770</x:v>
      </x:c>
      <x:c r="R29" s="57" t="n">
        <x:f>IF(AND(ISNUMBER(R20),ISNUMBER(R28)),R20-R28,"n.a.")</x:f>
        <x:v>33770</x:v>
      </x:c>
    </x:row>
    <x:row r="30" ht="21" customHeight="1">
      <x:c r="A30" s="2"/>
      <x:c r="B30" s="2"/>
      <x:c r="C30" s="2" t="str">
        <x:v>Cash replacement reserve deposits</x:v>
      </x:c>
      <x:c r="D30" s="2" t="str">
        <x:v>USD</x:v>
      </x:c>
      <x:c r="E30" s="52" t="n">
        <x:f>IF(COUNT(G30:R30)=12,SUM(G30:R30),"n.a.")</x:f>
        <x:v>0</x:v>
      </x:c>
      <x:c r="F30" s="2"/>
      <x:c r="G30" s="51" t="n">
        <x:f>IF(AND(ISNUMBER(G20),ISNUMBER('Assumptions'!$D$58)),MAX(0,G20)*'Assumptions'!$D$58,"n.a.")</x:f>
        <x:v>0</x:v>
      </x:c>
      <x:c r="H30" s="51" t="n">
        <x:f>IF(AND(ISNUMBER(H20),ISNUMBER('Assumptions'!$D$58)),MAX(0,H20)*'Assumptions'!$D$58,"n.a.")</x:f>
        <x:v>0</x:v>
      </x:c>
      <x:c r="I30" s="51" t="n">
        <x:f>IF(AND(ISNUMBER(I20),ISNUMBER('Assumptions'!$D$58)),MAX(0,I20)*'Assumptions'!$D$58,"n.a.")</x:f>
        <x:v>0</x:v>
      </x:c>
      <x:c r="J30" s="51" t="n">
        <x:f>IF(AND(ISNUMBER(J20),ISNUMBER('Assumptions'!$D$58)),MAX(0,J20)*'Assumptions'!$D$58,"n.a.")</x:f>
        <x:v>0</x:v>
      </x:c>
      <x:c r="K30" s="51" t="n">
        <x:f>IF(AND(ISNUMBER(K20),ISNUMBER('Assumptions'!$D$58)),MAX(0,K20)*'Assumptions'!$D$58,"n.a.")</x:f>
        <x:v>0</x:v>
      </x:c>
      <x:c r="L30" s="51" t="n">
        <x:f>IF(AND(ISNUMBER(L20),ISNUMBER('Assumptions'!$D$58)),MAX(0,L20)*'Assumptions'!$D$58,"n.a.")</x:f>
        <x:v>0</x:v>
      </x:c>
      <x:c r="M30" s="51" t="n">
        <x:f>IF(AND(ISNUMBER(M20),ISNUMBER('Assumptions'!$D$58)),MAX(0,M20)*'Assumptions'!$D$58,"n.a.")</x:f>
        <x:v>0</x:v>
      </x:c>
      <x:c r="N30" s="51" t="n">
        <x:f>IF(AND(ISNUMBER(N20),ISNUMBER('Assumptions'!$D$58)),MAX(0,N20)*'Assumptions'!$D$58,"n.a.")</x:f>
        <x:v>0</x:v>
      </x:c>
      <x:c r="O30" s="51" t="n">
        <x:f>IF(AND(ISNUMBER(O20),ISNUMBER('Assumptions'!$D$58)),MAX(0,O20)*'Assumptions'!$D$58,"n.a.")</x:f>
        <x:v>0</x:v>
      </x:c>
      <x:c r="P30" s="51" t="n">
        <x:f>IF(AND(ISNUMBER(P20),ISNUMBER('Assumptions'!$D$58)),MAX(0,P20)*'Assumptions'!$D$58,"n.a.")</x:f>
        <x:v>0</x:v>
      </x:c>
      <x:c r="Q30" s="51" t="n">
        <x:f>IF(AND(ISNUMBER(Q20),ISNUMBER('Assumptions'!$D$58)),MAX(0,Q20)*'Assumptions'!$D$58,"n.a.")</x:f>
        <x:v>0</x:v>
      </x:c>
      <x:c r="R30" s="51" t="n">
        <x:f>IF(AND(ISNUMBER(R20),ISNUMBER('Assumptions'!$D$58)),MAX(0,R20)*'Assumptions'!$D$58,"n.a.")</x:f>
        <x:v>0</x:v>
      </x:c>
    </x:row>
    <x:row r="31" ht="21" customHeight="1">
      <x:c r="A31" s="2"/>
      <x:c r="B31" s="2"/>
      <x:c r="C31" s="56" t="str">
        <x:v>Cash NCF before property debt / capital</x:v>
      </x:c>
      <x:c r="D31" s="56" t="str">
        <x:v>USD</x:v>
      </x:c>
      <x:c r="E31" s="57" t="n">
        <x:f>IF(COUNT(G31:R31)=12,SUM(G31:R31),"n.a.")</x:f>
        <x:v>403013.125</x:v>
      </x:c>
      <x:c r="F31" s="56"/>
      <x:c r="G31" s="57" t="n">
        <x:f>IF(AND(ISNUMBER(G29),ISNUMBER(G30)),G29-G30,"n.a.")</x:f>
        <x:v>31543.125</x:v>
      </x:c>
      <x:c r="H31" s="57" t="n">
        <x:f>IF(AND(ISNUMBER(H29),ISNUMBER(H30)),H29-H30,"n.a.")</x:f>
        <x:v>33770</x:v>
      </x:c>
      <x:c r="I31" s="57" t="n">
        <x:f>IF(AND(ISNUMBER(I29),ISNUMBER(I30)),I29-I30,"n.a.")</x:f>
        <x:v>33770</x:v>
      </x:c>
      <x:c r="J31" s="57" t="n">
        <x:f>IF(AND(ISNUMBER(J29),ISNUMBER(J30)),J29-J30,"n.a.")</x:f>
        <x:v>33770</x:v>
      </x:c>
      <x:c r="K31" s="57" t="n">
        <x:f>IF(AND(ISNUMBER(K29),ISNUMBER(K30)),K29-K30,"n.a.")</x:f>
        <x:v>33770</x:v>
      </x:c>
      <x:c r="L31" s="57" t="n">
        <x:f>IF(AND(ISNUMBER(L29),ISNUMBER(L30)),L29-L30,"n.a.")</x:f>
        <x:v>33770</x:v>
      </x:c>
      <x:c r="M31" s="57" t="n">
        <x:f>IF(AND(ISNUMBER(M29),ISNUMBER(M30)),M29-M30,"n.a.")</x:f>
        <x:v>33770</x:v>
      </x:c>
      <x:c r="N31" s="57" t="n">
        <x:f>IF(AND(ISNUMBER(N29),ISNUMBER(N30)),N29-N30,"n.a.")</x:f>
        <x:v>33770</x:v>
      </x:c>
      <x:c r="O31" s="57" t="n">
        <x:f>IF(AND(ISNUMBER(O29),ISNUMBER(O30)),O29-O30,"n.a.")</x:f>
        <x:v>33770</x:v>
      </x:c>
      <x:c r="P31" s="57" t="n">
        <x:f>IF(AND(ISNUMBER(P29),ISNUMBER(P30)),P29-P30,"n.a.")</x:f>
        <x:v>33770</x:v>
      </x:c>
      <x:c r="Q31" s="57" t="n">
        <x:f>IF(AND(ISNUMBER(Q29),ISNUMBER(Q30)),Q29-Q30,"n.a.")</x:f>
        <x:v>33770</x:v>
      </x:c>
      <x:c r="R31" s="57" t="n">
        <x:f>IF(AND(ISNUMBER(R29),ISNUMBER(R30)),R29-R30,"n.a.")</x:f>
        <x:v>33770</x:v>
      </x:c>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IF(AND(ISNUMBER('Operations'!E31),ISNUMBER('Assumptions'!$D$52)),'Operations'!E31+'Assumptions'!$D$52,"n.a.")</x:f>
        <x:v>403013.125</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3979155.3177608354</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2340000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4477923.611111111</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2200000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14854.557549648116</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3615000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1415000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385000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2016287.4711548428</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2200000</x:v>
      </x:c>
      <x:c r="H29" s="60" t="n">
        <x:f>IF(AND(ISNUMBER(G33)),G33,"n.a.")</x:f>
        <x:v>2200000</x:v>
      </x:c>
      <x:c r="I29" s="60" t="n">
        <x:f>IF(AND(ISNUMBER(H33)),H33,"n.a.")</x:f>
        <x:v>2200000</x:v>
      </x:c>
      <x:c r="J29" s="60" t="n">
        <x:f>IF(AND(ISNUMBER(I33)),I33,"n.a.")</x:f>
        <x:v>2200000</x:v>
      </x:c>
      <x:c r="K29" s="60" t="n">
        <x:f>IF(AND(ISNUMBER(J33)),J33,"n.a.")</x:f>
        <x:v>2200000</x:v>
      </x:c>
      <x:c r="L29" s="60" t="n">
        <x:f>IF(AND(ISNUMBER(K33)),K33,"n.a.")</x:f>
        <x:v>2200000</x:v>
      </x:c>
      <x:c r="M29" s="60" t="n">
        <x:f>IF(AND(ISNUMBER(L33)),L33,"n.a.")</x:f>
        <x:v>2200000</x:v>
      </x:c>
      <x:c r="N29" s="60" t="n">
        <x:f>IF(AND(ISNUMBER(M33)),M33,"n.a.")</x:f>
        <x:v>2197062.1091170185</x:v>
      </x:c>
      <x:c r="O29" s="60" t="n">
        <x:f>IF(AND(ISNUMBER(N33)),N33,"n.a.")</x:f>
        <x:v>2194108.304658421</x:v>
      </x:c>
      <x:c r="P29" s="60" t="n">
        <x:f>IF(AND(ISNUMBER(O33)),O33,"n.a.")</x:f>
        <x:v>2191138.5004256726</x:v>
      </x:c>
      <x:c r="Q29" s="60" t="n">
        <x:f>IF(AND(ISNUMBER(P33)),P33,"n.a.")</x:f>
        <x:v>2188152.6097533302</x:v>
      </x:c>
      <x:c r="R29" s="60" t="n">
        <x:f>IF(AND(ISNUMBER(Q33)),Q33,"n.a.")</x:f>
        <x:v>2185150.5455065127</x:v>
      </x:c>
    </x:row>
    <x:row r="30" ht="21" customHeight="1">
      <x:c r="A30" s="2"/>
      <x:c r="B30" s="2"/>
      <x:c r="C30" s="2" t="str">
        <x:v>Monthly interest</x:v>
      </x:c>
      <x:c r="D30" s="2"/>
      <x:c r="E30" s="2"/>
      <x:c r="F30" s="2"/>
      <x:c r="G30" s="61" t="n">
        <x:f>IF(AND(ISNUMBER(G29),ISNUMBER('Assumptions'!$D$31)),G29*'Assumptions'!$D$31/12,"n.a.")</x:f>
        <x:v>11916.666666666666</x:v>
      </x:c>
      <x:c r="H30" s="61" t="n">
        <x:f>IF(AND(ISNUMBER(H29),ISNUMBER('Assumptions'!$D$31)),H29*'Assumptions'!$D$31/12,"n.a.")</x:f>
        <x:v>11916.666666666666</x:v>
      </x:c>
      <x:c r="I30" s="61" t="n">
        <x:f>IF(AND(ISNUMBER(I29),ISNUMBER('Assumptions'!$D$31)),I29*'Assumptions'!$D$31/12,"n.a.")</x:f>
        <x:v>11916.666666666666</x:v>
      </x:c>
      <x:c r="J30" s="61" t="n">
        <x:f>IF(AND(ISNUMBER(J29),ISNUMBER('Assumptions'!$D$31)),J29*'Assumptions'!$D$31/12,"n.a.")</x:f>
        <x:v>11916.666666666666</x:v>
      </x:c>
      <x:c r="K30" s="61" t="n">
        <x:f>IF(AND(ISNUMBER(K29),ISNUMBER('Assumptions'!$D$31)),K29*'Assumptions'!$D$31/12,"n.a.")</x:f>
        <x:v>11916.666666666666</x:v>
      </x:c>
      <x:c r="L30" s="61" t="n">
        <x:f>IF(AND(ISNUMBER(L29),ISNUMBER('Assumptions'!$D$31)),L29*'Assumptions'!$D$31/12,"n.a.")</x:f>
        <x:v>11916.666666666666</x:v>
      </x:c>
      <x:c r="M30" s="61" t="n">
        <x:f>IF(AND(ISNUMBER(M29),ISNUMBER('Assumptions'!$D$31)),M29*'Assumptions'!$D$31/12,"n.a.")</x:f>
        <x:v>11916.666666666666</x:v>
      </x:c>
      <x:c r="N30" s="61" t="n">
        <x:f>IF(AND(ISNUMBER(N29),ISNUMBER('Assumptions'!$D$31)),N29*'Assumptions'!$D$31/12,"n.a.")</x:f>
        <x:v>11900.753091050517</x:v>
      </x:c>
      <x:c r="O30" s="61" t="n">
        <x:f>IF(AND(ISNUMBER(O29),ISNUMBER('Assumptions'!$D$31)),O29*'Assumptions'!$D$31/12,"n.a.")</x:f>
        <x:v>11884.753316899782</x:v>
      </x:c>
      <x:c r="P30" s="61" t="n">
        <x:f>IF(AND(ISNUMBER(P29),ISNUMBER('Assumptions'!$D$31)),P29*'Assumptions'!$D$31/12,"n.a.")</x:f>
        <x:v>11868.666877305726</x:v>
      </x:c>
      <x:c r="Q30" s="61" t="n">
        <x:f>IF(AND(ISNUMBER(Q29),ISNUMBER('Assumptions'!$D$31)),Q29*'Assumptions'!$D$31/12,"n.a.")</x:f>
        <x:v>11852.493302830539</x:v>
      </x:c>
      <x:c r="R30" s="61" t="n">
        <x:f>IF(AND(ISNUMBER(R29),ISNUMBER('Assumptions'!$D$31)),R29*'Assumptions'!$D$31/12,"n.a.")</x:f>
        <x:v>11836.232121493611</x:v>
      </x:c>
    </x:row>
    <x:row r="31" ht="21" customHeight="1">
      <x:c r="A31" s="2"/>
      <x:c r="B31" s="2"/>
      <x:c r="C31" s="2" t="str">
        <x:v>Scheduled payment</x:v>
      </x:c>
      <x:c r="D31" s="2"/>
      <x:c r="E31" s="2"/>
      <x:c r="F31" s="2"/>
      <x:c r="G31" s="61" t="n">
        <x:f>IF(AND(ISNUMBER('Assumptions'!$D$37),ISNUMBER(G30),ISNUMBER(G29),ISNUMBER(D16)),IF(1&lt;='Assumptions'!$D$37,G30,MIN(G29+G30,D16)),"n.a.")</x:f>
        <x:v>11916.666666666666</x:v>
      </x:c>
      <x:c r="H31" s="61" t="n">
        <x:f>IF(AND(ISNUMBER('Assumptions'!$D$37),ISNUMBER(H30),ISNUMBER(H29),ISNUMBER(D16)),IF(2&lt;='Assumptions'!$D$37,H30,MIN(H29+H30,D16)),"n.a.")</x:f>
        <x:v>11916.666666666666</x:v>
      </x:c>
      <x:c r="I31" s="61" t="n">
        <x:f>IF(AND(ISNUMBER('Assumptions'!$D$37),ISNUMBER(I30),ISNUMBER(I29),ISNUMBER(D16)),IF(3&lt;='Assumptions'!$D$37,I30,MIN(I29+I30,D16)),"n.a.")</x:f>
        <x:v>11916.666666666666</x:v>
      </x:c>
      <x:c r="J31" s="61" t="n">
        <x:f>IF(AND(ISNUMBER('Assumptions'!$D$37),ISNUMBER(J30),ISNUMBER(J29),ISNUMBER(D16)),IF(4&lt;='Assumptions'!$D$37,J30,MIN(J29+J30,D16)),"n.a.")</x:f>
        <x:v>11916.666666666666</x:v>
      </x:c>
      <x:c r="K31" s="61" t="n">
        <x:f>IF(AND(ISNUMBER('Assumptions'!$D$37),ISNUMBER(K30),ISNUMBER(K29),ISNUMBER(D16)),IF(5&lt;='Assumptions'!$D$37,K30,MIN(K29+K30,D16)),"n.a.")</x:f>
        <x:v>11916.666666666666</x:v>
      </x:c>
      <x:c r="L31" s="61" t="n">
        <x:f>IF(AND(ISNUMBER('Assumptions'!$D$37),ISNUMBER(L30),ISNUMBER(L29),ISNUMBER(D16)),IF(6&lt;='Assumptions'!$D$37,L30,MIN(L29+L30,D16)),"n.a.")</x:f>
        <x:v>11916.666666666666</x:v>
      </x:c>
      <x:c r="M31" s="61" t="n">
        <x:f>IF(AND(ISNUMBER('Assumptions'!$D$37),ISNUMBER(M30),ISNUMBER(M29),ISNUMBER(D16)),IF(7&lt;='Assumptions'!$D$37,M30,MIN(M29+M30,D16)),"n.a.")</x:f>
        <x:v>14854.557549648116</x:v>
      </x:c>
      <x:c r="N31" s="61" t="n">
        <x:f>IF(AND(ISNUMBER('Assumptions'!$D$37),ISNUMBER(N30),ISNUMBER(N29),ISNUMBER(D16)),IF(8&lt;='Assumptions'!$D$37,N30,MIN(N29+N30,D16)),"n.a.")</x:f>
        <x:v>14854.557549648116</x:v>
      </x:c>
      <x:c r="O31" s="61" t="n">
        <x:f>IF(AND(ISNUMBER('Assumptions'!$D$37),ISNUMBER(O30),ISNUMBER(O29),ISNUMBER(D16)),IF(9&lt;='Assumptions'!$D$37,O30,MIN(O29+O30,D16)),"n.a.")</x:f>
        <x:v>14854.557549648116</x:v>
      </x:c>
      <x:c r="P31" s="61" t="n">
        <x:f>IF(AND(ISNUMBER('Assumptions'!$D$37),ISNUMBER(P30),ISNUMBER(P29),ISNUMBER(D16)),IF(10&lt;='Assumptions'!$D$37,P30,MIN(P29+P30,D16)),"n.a.")</x:f>
        <x:v>14854.557549648116</x:v>
      </x:c>
      <x:c r="Q31" s="61" t="n">
        <x:f>IF(AND(ISNUMBER('Assumptions'!$D$37),ISNUMBER(Q30),ISNUMBER(Q29),ISNUMBER(D16)),IF(11&lt;='Assumptions'!$D$37,Q30,MIN(Q29+Q30,D16)),"n.a.")</x:f>
        <x:v>14854.557549648116</x:v>
      </x:c>
      <x:c r="R31" s="61" t="n">
        <x:f>IF(AND(ISNUMBER('Assumptions'!$D$37),ISNUMBER(R30),ISNUMBER(R29),ISNUMBER(D16)),IF(12&lt;='Assumptions'!$D$37,R30,MIN(R29+R30,D16)),"n.a.")</x:f>
        <x:v>14854.557549648116</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2937.89088298145</x:v>
      </x:c>
      <x:c r="N32" s="60" t="n">
        <x:f>IF(AND(ISNUMBER(N31),ISNUMBER(N30)),N31-N30,"n.a.")</x:f>
        <x:v>2953.8044585975986</x:v>
      </x:c>
      <x:c r="O32" s="60" t="n">
        <x:f>IF(AND(ISNUMBER(O31),ISNUMBER(O30)),O31-O30,"n.a.")</x:f>
        <x:v>2969.8042327483345</x:v>
      </x:c>
      <x:c r="P32" s="60" t="n">
        <x:f>IF(AND(ISNUMBER(P31),ISNUMBER(P30)),P31-P30,"n.a.")</x:f>
        <x:v>2985.8906723423897</x:v>
      </x:c>
      <x:c r="Q32" s="60" t="n">
        <x:f>IF(AND(ISNUMBER(Q31),ISNUMBER(Q30)),Q31-Q30,"n.a.")</x:f>
        <x:v>3002.0642468175774</x:v>
      </x:c>
      <x:c r="R32" s="60" t="n">
        <x:f>IF(AND(ISNUMBER(R31),ISNUMBER(R30)),R31-R30,"n.a.")</x:f>
        <x:v>3018.325428154505</x:v>
      </x:c>
    </x:row>
    <x:row r="33" ht="21" customHeight="1">
      <x:c r="A33" s="2"/>
      <x:c r="B33" s="2"/>
      <x:c r="C33" s="2" t="str">
        <x:v>Ending loan balance</x:v>
      </x:c>
      <x:c r="D33" s="2"/>
      <x:c r="E33" s="2"/>
      <x:c r="F33" s="2"/>
      <x:c r="G33" s="60" t="n">
        <x:f>IF(AND(ISNUMBER(G29),ISNUMBER(G32),ISNUMBER(G38)),G29-G32-G38,"n.a.")</x:f>
        <x:v>2200000</x:v>
      </x:c>
      <x:c r="H33" s="60" t="n">
        <x:f>IF(AND(ISNUMBER(H29),ISNUMBER(H32),ISNUMBER(H38)),H29-H32-H38,"n.a.")</x:f>
        <x:v>2200000</x:v>
      </x:c>
      <x:c r="I33" s="60" t="n">
        <x:f>IF(AND(ISNUMBER(I29),ISNUMBER(I32),ISNUMBER(I38)),I29-I32-I38,"n.a.")</x:f>
        <x:v>2200000</x:v>
      </x:c>
      <x:c r="J33" s="60" t="n">
        <x:f>IF(AND(ISNUMBER(J29),ISNUMBER(J32),ISNUMBER(J38)),J29-J32-J38,"n.a.")</x:f>
        <x:v>2200000</x:v>
      </x:c>
      <x:c r="K33" s="60" t="n">
        <x:f>IF(AND(ISNUMBER(K29),ISNUMBER(K32),ISNUMBER(K38)),K29-K32-K38,"n.a.")</x:f>
        <x:v>2200000</x:v>
      </x:c>
      <x:c r="L33" s="60" t="n">
        <x:f>IF(AND(ISNUMBER(L29),ISNUMBER(L32),ISNUMBER(L38)),L29-L32-L38,"n.a.")</x:f>
        <x:v>2200000</x:v>
      </x:c>
      <x:c r="M33" s="60" t="n">
        <x:f>IF(AND(ISNUMBER(M29),ISNUMBER(M32),ISNUMBER(M38)),M29-M32-M38,"n.a.")</x:f>
        <x:v>2197062.1091170185</x:v>
      </x:c>
      <x:c r="N33" s="60" t="n">
        <x:f>IF(AND(ISNUMBER(N29),ISNUMBER(N32),ISNUMBER(N38)),N29-N32-N38,"n.a.")</x:f>
        <x:v>2194108.304658421</x:v>
      </x:c>
      <x:c r="O33" s="60" t="n">
        <x:f>IF(AND(ISNUMBER(O29),ISNUMBER(O32),ISNUMBER(O38)),O29-O32-O38,"n.a.")</x:f>
        <x:v>2191138.5004256726</x:v>
      </x:c>
      <x:c r="P33" s="60" t="n">
        <x:f>IF(AND(ISNUMBER(P29),ISNUMBER(P32),ISNUMBER(P38)),P29-P32-P38,"n.a.")</x:f>
        <x:v>2188152.6097533302</x:v>
      </x:c>
      <x:c r="Q33" s="60" t="n">
        <x:f>IF(AND(ISNUMBER(Q29),ISNUMBER(Q32),ISNUMBER(Q38)),Q29-Q32-Q38,"n.a.")</x:f>
        <x:v>2185150.5455065127</x:v>
      </x:c>
      <x:c r="R33" s="60" t="n">
        <x:f>IF(AND(ISNUMBER(R29),ISNUMBER(R32),ISNUMBER(R38)),R29-R32-R38,"n.a.")</x:f>
        <x:v>2182132.2200783584</x:v>
      </x:c>
    </x:row>
    <x:row r="34" ht="21" customHeight="1">
      <x:c r="A34" s="2"/>
      <x:c r="B34" s="2"/>
      <x:c r="C34" s="2" t="str">
        <x:v>Operating cash NCF</x:v>
      </x:c>
      <x:c r="D34" s="2"/>
      <x:c r="E34" s="2"/>
      <x:c r="F34" s="2"/>
      <x:c r="G34" s="61" t="n">
        <x:f>IF(AND(ISNUMBER('Operations'!G31)),'Operations'!G31,"n.a.")</x:f>
        <x:v>31543.125</x:v>
      </x:c>
      <x:c r="H34" s="61" t="n">
        <x:f>IF(AND(ISNUMBER('Operations'!H31)),'Operations'!H31,"n.a.")</x:f>
        <x:v>33770</x:v>
      </x:c>
      <x:c r="I34" s="61" t="n">
        <x:f>IF(AND(ISNUMBER('Operations'!I31)),'Operations'!I31,"n.a.")</x:f>
        <x:v>33770</x:v>
      </x:c>
      <x:c r="J34" s="61" t="n">
        <x:f>IF(AND(ISNUMBER('Operations'!J31)),'Operations'!J31,"n.a.")</x:f>
        <x:v>33770</x:v>
      </x:c>
      <x:c r="K34" s="61" t="n">
        <x:f>IF(AND(ISNUMBER('Operations'!K31)),'Operations'!K31,"n.a.")</x:f>
        <x:v>33770</x:v>
      </x:c>
      <x:c r="L34" s="61" t="n">
        <x:f>IF(AND(ISNUMBER('Operations'!L31)),'Operations'!L31,"n.a.")</x:f>
        <x:v>33770</x:v>
      </x:c>
      <x:c r="M34" s="61" t="n">
        <x:f>IF(AND(ISNUMBER('Operations'!M31)),'Operations'!M31,"n.a.")</x:f>
        <x:v>33770</x:v>
      </x:c>
      <x:c r="N34" s="61" t="n">
        <x:f>IF(AND(ISNUMBER('Operations'!N31)),'Operations'!N31,"n.a.")</x:f>
        <x:v>33770</x:v>
      </x:c>
      <x:c r="O34" s="61" t="n">
        <x:f>IF(AND(ISNUMBER('Operations'!O31)),'Operations'!O31,"n.a.")</x:f>
        <x:v>33770</x:v>
      </x:c>
      <x:c r="P34" s="61" t="n">
        <x:f>IF(AND(ISNUMBER('Operations'!P31)),'Operations'!P31,"n.a.")</x:f>
        <x:v>33770</x:v>
      </x:c>
      <x:c r="Q34" s="61" t="n">
        <x:f>IF(AND(ISNUMBER('Operations'!Q31)),'Operations'!Q31,"n.a.")</x:f>
        <x:v>33770</x:v>
      </x:c>
      <x:c r="R34" s="61" t="n">
        <x:f>IF(AND(ISNUMBER('Operations'!R31)),'Operations'!R31,"n.a.")</x:f>
        <x:v>33770</x:v>
      </x:c>
    </x:row>
    <x:row r="35" ht="21" customHeight="1">
      <x:c r="A35" s="2"/>
      <x:c r="B35" s="2"/>
      <x:c r="C35" s="2" t="str">
        <x:v>Capital-work cash</x:v>
      </x:c>
      <x:c r="D35" s="2"/>
      <x:c r="E35" s="2"/>
      <x:c r="F35" s="2"/>
      <x:c r="G35" s="61" t="n">
        <x:f>IF(AND(ISNUMBER('Operations'!G26)),'Operations'!G26,"n.a.")</x:f>
        <x:v>0</x:v>
      </x:c>
      <x:c r="H35" s="61" t="n">
        <x:f>IF(AND(ISNUMBER('Operations'!H26)),'Operations'!H26,"n.a.")</x:f>
        <x:v>0</x:v>
      </x:c>
      <x:c r="I35" s="61" t="n">
        <x:f>IF(AND(ISNUMBER('Operations'!I26)),'Operations'!I26,"n.a.")</x:f>
        <x:v>0</x:v>
      </x:c>
      <x:c r="J35" s="61" t="n">
        <x:f>IF(AND(ISNUMBER('Operations'!J26)),'Operations'!J26,"n.a.")</x:f>
        <x:v>0</x:v>
      </x:c>
      <x:c r="K35" s="61" t="n">
        <x:f>IF(AND(ISNUMBER('Operations'!K26)),'Operations'!K26,"n.a.")</x:f>
        <x:v>0</x:v>
      </x:c>
      <x:c r="L35" s="61" t="n">
        <x:f>IF(AND(ISNUMBER('Operations'!L26)),'Operations'!L26,"n.a.")</x:f>
        <x:v>60000</x:v>
      </x:c>
      <x:c r="M35" s="61" t="n">
        <x:f>IF(AND(ISNUMBER('Operations'!M26)),'Operations'!M26,"n.a.")</x:f>
        <x:v>0</x:v>
      </x:c>
      <x:c r="N35" s="61" t="n">
        <x:f>IF(AND(ISNUMBER('Operations'!N26)),'Operations'!N26,"n.a.")</x:f>
        <x:v>0</x:v>
      </x:c>
      <x:c r="O35" s="61" t="n">
        <x:f>IF(AND(ISNUMBER('Operations'!O26)),'Operations'!O26,"n.a.")</x:f>
        <x:v>0</x:v>
      </x:c>
      <x:c r="P35" s="61" t="n">
        <x:f>IF(AND(ISNUMBER('Operations'!P26)),'Operations'!P26,"n.a.")</x:f>
        <x:v>0</x:v>
      </x:c>
      <x:c r="Q35" s="61" t="n">
        <x:f>IF(AND(ISNUMBER('Operations'!Q26)),'Operations'!Q26,"n.a.")</x:f>
        <x:v>0</x:v>
      </x:c>
      <x:c r="R35" s="61" t="n">
        <x:f>IF(AND(ISNUMBER('Operations'!R26)),'Operations'!R26,"n.a.")</x:f>
        <x:v>0</x:v>
      </x:c>
    </x:row>
    <x:row r="36" ht="21" customHeight="1">
      <x:c r="A36" s="2"/>
      <x:c r="B36" s="2"/>
      <x:c r="C36" s="2" t="str">
        <x:v>Cash after debt and capital</x:v>
      </x:c>
      <x:c r="D36" s="2"/>
      <x:c r="E36" s="2"/>
      <x:c r="F36" s="2"/>
      <x:c r="G36" s="60" t="n">
        <x:f>IF(AND(ISNUMBER(G34),ISNUMBER(G31),ISNUMBER(G35),ISNUMBER(G38)),G34-G31-G35-G38,"n.a.")</x:f>
        <x:v>19626.458333333336</x:v>
      </x:c>
      <x:c r="H36" s="60" t="n">
        <x:f>IF(AND(ISNUMBER(H34),ISNUMBER(H31),ISNUMBER(H35),ISNUMBER(H38)),H34-H31-H35-H38,"n.a.")</x:f>
        <x:v>21853.333333333336</x:v>
      </x:c>
      <x:c r="I36" s="60" t="n">
        <x:f>IF(AND(ISNUMBER(I34),ISNUMBER(I31),ISNUMBER(I35),ISNUMBER(I38)),I34-I31-I35-I38,"n.a.")</x:f>
        <x:v>21853.333333333336</x:v>
      </x:c>
      <x:c r="J36" s="60" t="n">
        <x:f>IF(AND(ISNUMBER(J34),ISNUMBER(J31),ISNUMBER(J35),ISNUMBER(J38)),J34-J31-J35-J38,"n.a.")</x:f>
        <x:v>21853.333333333336</x:v>
      </x:c>
      <x:c r="K36" s="60" t="n">
        <x:f>IF(AND(ISNUMBER(K34),ISNUMBER(K31),ISNUMBER(K35),ISNUMBER(K38)),K34-K31-K35-K38,"n.a.")</x:f>
        <x:v>21853.333333333336</x:v>
      </x:c>
      <x:c r="L36" s="60" t="n">
        <x:f>IF(AND(ISNUMBER(L34),ISNUMBER(L31),ISNUMBER(L35),ISNUMBER(L38)),L34-L31-L35-L38,"n.a.")</x:f>
        <x:v>-38146.666666666664</x:v>
      </x:c>
      <x:c r="M36" s="60" t="n">
        <x:f>IF(AND(ISNUMBER(M34),ISNUMBER(M31),ISNUMBER(M35),ISNUMBER(M38)),M34-M31-M35-M38,"n.a.")</x:f>
        <x:v>18915.442450351882</x:v>
      </x:c>
      <x:c r="N36" s="60" t="n">
        <x:f>IF(AND(ISNUMBER(N34),ISNUMBER(N31),ISNUMBER(N35),ISNUMBER(N38)),N34-N31-N35-N38,"n.a.")</x:f>
        <x:v>18915.442450351882</x:v>
      </x:c>
      <x:c r="O36" s="60" t="n">
        <x:f>IF(AND(ISNUMBER(O34),ISNUMBER(O31),ISNUMBER(O35),ISNUMBER(O38)),O34-O31-O35-O38,"n.a.")</x:f>
        <x:v>18915.442450351882</x:v>
      </x:c>
      <x:c r="P36" s="60" t="n">
        <x:f>IF(AND(ISNUMBER(P34),ISNUMBER(P31),ISNUMBER(P35),ISNUMBER(P38)),P34-P31-P35-P38,"n.a.")</x:f>
        <x:v>18915.442450351882</x:v>
      </x:c>
      <x:c r="Q36" s="60" t="n">
        <x:f>IF(AND(ISNUMBER(Q34),ISNUMBER(Q31),ISNUMBER(Q35),ISNUMBER(Q38)),Q34-Q31-Q35-Q38,"n.a.")</x:f>
        <x:v>18915.442450351882</x:v>
      </x:c>
      <x:c r="R36" s="60" t="n">
        <x:f>IF(AND(ISNUMBER(R34),ISNUMBER(R31),ISNUMBER(R35),ISNUMBER(R38)),R34-R31-R35-R38,"n.a.")</x:f>
        <x:v>18915.442450351882</x:v>
      </x:c>
    </x:row>
    <x:row r="37" ht="21" customHeight="1">
      <x:c r="A37" s="2"/>
      <x:c r="B37" s="2"/>
      <x:c r="C37" s="2" t="str">
        <x:v>Ending operating cash</x:v>
      </x:c>
      <x:c r="D37" s="2"/>
      <x:c r="E37" s="2"/>
      <x:c r="F37" s="2"/>
      <x:c r="G37" s="61" t="n">
        <x:f>IF(AND(ISNUMBER('Assumptions'!$D$22),ISNUMBER(G36)),'Assumptions'!$D$22+G36,"n.a.")</x:f>
        <x:v>169626.45833333334</x:v>
      </x:c>
      <x:c r="H37" s="60" t="n">
        <x:f>IF(AND(ISNUMBER(G37),ISNUMBER(H36)),G37+H36,"n.a.")</x:f>
        <x:v>191479.7916666667</x:v>
      </x:c>
      <x:c r="I37" s="60" t="n">
        <x:f>IF(AND(ISNUMBER(H37),ISNUMBER(I36)),H37+I36,"n.a.")</x:f>
        <x:v>213333.12500000003</x:v>
      </x:c>
      <x:c r="J37" s="60" t="n">
        <x:f>IF(AND(ISNUMBER(I37),ISNUMBER(J36)),I37+J36,"n.a.")</x:f>
        <x:v>235186.45833333337</x:v>
      </x:c>
      <x:c r="K37" s="60" t="n">
        <x:f>IF(AND(ISNUMBER(J37),ISNUMBER(K36)),J37+K36,"n.a.")</x:f>
        <x:v>257039.79166666672</x:v>
      </x:c>
      <x:c r="L37" s="60" t="n">
        <x:f>IF(AND(ISNUMBER(K37),ISNUMBER(L36)),K37+L36,"n.a.")</x:f>
        <x:v>218893.12500000006</x:v>
      </x:c>
      <x:c r="M37" s="60" t="n">
        <x:f>IF(AND(ISNUMBER(L37),ISNUMBER(M36)),L37+M36,"n.a.")</x:f>
        <x:v>237808.56745035195</x:v>
      </x:c>
      <x:c r="N37" s="60" t="n">
        <x:f>IF(AND(ISNUMBER(M37),ISNUMBER(N36)),M37+N36,"n.a.")</x:f>
        <x:v>256724.00990070385</x:v>
      </x:c>
      <x:c r="O37" s="60" t="n">
        <x:f>IF(AND(ISNUMBER(N37),ISNUMBER(O36)),N37+O36,"n.a.")</x:f>
        <x:v>275639.45235105575</x:v>
      </x:c>
      <x:c r="P37" s="60" t="n">
        <x:f>IF(AND(ISNUMBER(O37),ISNUMBER(P36)),O37+P36,"n.a.")</x:f>
        <x:v>294554.89480140764</x:v>
      </x:c>
      <x:c r="Q37" s="60" t="n">
        <x:f>IF(AND(ISNUMBER(P37),ISNUMBER(Q36)),P37+Q36,"n.a.")</x:f>
        <x:v>313470.33725175954</x:v>
      </x:c>
      <x:c r="R37" s="60" t="n">
        <x:f>IF(AND(ISNUMBER(Q37),ISNUMBER(R36)),Q37+R36,"n.a.")</x:f>
        <x:v>332385.77970211144</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160627.34529788868</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2.5089944943844955</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2182132.2200783584</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385000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332385.77970211144</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32-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Assumptions'!$D$97,'Assumptions'!$D$100,'Assumptions'!$D$103)</x:f>
        <x:v>0</x:v>
      </x:c>
      <x:c r="E10" s="2"/>
      <x:c r="F10" s="2"/>
      <x:c r="G10" s="2"/>
      <x:c r="H10" s="2"/>
      <x:c r="I10" s="2"/>
      <x:c r="J10" s="2"/>
    </x:row>
    <x:row r="11" ht="21" customHeight="1">
      <x:c r="A11" s="2"/>
      <x:c r="B11" s="2"/>
      <x:c r="C11" s="2" t="str">
        <x:v>Source rows needing correction</x:v>
      </x:c>
      <x:c r="D11" s="71" t="n">
        <x:f>COUNTIFS('Rooms and Enrollment'!N10:N21,"Missing / invalid input")</x:f>
        <x:v>0</x:v>
      </x:c>
      <x:c r="E11" s="2"/>
      <x:c r="F11" s="2"/>
      <x:c r="G11" s="2"/>
      <x:c r="H11" s="2"/>
      <x:c r="I11" s="2"/>
      <x:c r="J11" s="2"/>
    </x:row>
    <x:row r="12" ht="21" customHeight="1">
      <x:c r="A12" s="2"/>
      <x:c r="B12" s="2"/>
      <x:c r="C12" s="2" t="str">
        <x:v>Residual cash-cost reconciliation</x:v>
      </x:c>
      <x:c r="D12" s="71" t="n">
        <x:f>IF(AND(ISNUMBER('Operations'!E29),ISNUMBER('Operations'!E20),ISNUMBER('Operations'!E28)),'Operations'!E29-'Operations'!E20+'Operations'!E28,"n.a.")</x:f>
        <x:v>0</x:v>
      </x:c>
      <x:c r="E12" s="2"/>
      <x:c r="F12" s="2"/>
      <x:c r="G12" s="2"/>
      <x:c r="H12" s="2"/>
      <x:c r="I12" s="2"/>
      <x:c r="J12" s="2"/>
    </x:row>
    <x:row r="13" ht="21" customHeight="1">
      <x:c r="A13" s="2"/>
      <x:c r="B13" s="2"/>
      <x:c r="C13" s="2" t="str">
        <x:v>NCF reserve reconciliation</x:v>
      </x:c>
      <x:c r="D13" s="71" t="n">
        <x:f>IF(AND(ISNUMBER('Operations'!E31),ISNUMBER('Operations'!E29),ISNUMBER('Operations'!E30)),'Operations'!E31-'Operations'!E29+'Operations'!E30,"n.a.")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-4.656612873077393e-10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1.1641532182693481e-10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Usable places and child-to-teacher ratios are user-entered planning constraints, not</x:v>
      </x:c>
      <x:c r="D23" s="2"/>
      <x:c r="E23" s="2"/>
      <x:c r="F23" s="2"/>
      <x:c r="G23" s="2"/>
      <x:c r="H23" s="2"/>
      <x:c r="I23" s="2"/>
      <x:c r="J23" s="2"/>
    </x:row>
    <x:row r="24" ht="21" customHeight="1">
      <x:c r="A24" s="2"/>
      <x:c r="B24" s="2"/>
      <x:c r="C24" s="2" t="str">
        <x:v>licensing determinations or national standards. Teacher FTE rounds each modeled age</x:v>
      </x:c>
      <x:c r="D24" s="2"/>
      <x:c r="E24" s="2"/>
      <x:c r="F24" s="2"/>
      <x:c r="G24" s="2"/>
      <x:c r="H24" s="2"/>
      <x:c r="I24" s="2"/>
      <x:c r="J24" s="2"/>
    </x:row>
    <x:row r="25" ht="21" customHeight="1">
      <x:c r="A25" s="2"/>
      <x:c r="B25" s="2"/>
      <x:c r="C25" s="2" t="str">
        <x:v>group up and applies the entered shift/break coverage factor. Actual room-level staffing</x:v>
      </x:c>
      <x:c r="D25" s="2"/>
      <x:c r="E25" s="2"/>
      <x:c r="F25" s="2"/>
      <x:c r="G25" s="2"/>
      <x:c r="H25" s="2"/>
      <x:c r="I25" s="2"/>
      <x:c r="J25" s="2"/>
    </x:row>
    <x:row r="26" ht="21" customHeight="1">
      <x:c r="A26" s="2"/>
      <x:c r="B26" s="2"/>
      <x:c r="C26" s="2" t="str">
        <x:v>may require more.</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Tuition realization covers discounts and noncollection. Private-pay tuition collects</x:v>
      </x:c>
      <x:c r="D28" s="2"/>
      <x:c r="E28" s="2"/>
      <x:c r="F28" s="2"/>
      <x:c r="G28" s="2"/>
      <x:c r="H28" s="2"/>
      <x:c r="I28" s="2"/>
      <x:c r="J28" s="2"/>
    </x:row>
    <x:row r="29" ht="21" customHeight="1">
      <x:c r="A29" s="2"/>
      <x:c r="B29" s="2"/>
      <x:c r="C29" s="2" t="str">
        <x:v>currently; the uncollected subsidy portion pays next month. Opening subsidy AR collects</x:v>
      </x:c>
      <x:c r="D29" s="2"/>
      <x:c r="E29" s="2"/>
      <x:c r="F29" s="2"/>
      <x:c r="G29" s="2"/>
      <x:c r="H29" s="2"/>
      <x:c r="I29" s="2"/>
      <x:c r="J29" s="2"/>
    </x:row>
    <x:row r="30" ht="21" customHeight="1">
      <x:c r="A30" s="2"/>
      <x:c r="B30" s="2"/>
      <x:c r="C30" s="2" t="str">
        <x:v>in month 1. Do not deduct receivables again as working capital.</x:v>
      </x:c>
      <x:c r="D30" s="2"/>
      <x:c r="E30" s="2"/>
      <x:c r="F30" s="2"/>
      <x:c r="G30" s="2"/>
      <x:c r="H30" s="2"/>
      <x:c r="I30" s="2"/>
      <x:c r="J30" s="2"/>
    </x:row>
    <x:row r="31" ht="21" customHeight="1">
      <x:c r="A31" s="2"/>
      <x:c r="B31" s="2"/>
      <x:c r="C31" s="2"/>
      <x:c r="D31" s="2"/>
      <x:c r="E31" s="2"/>
      <x:c r="F31" s="2"/>
      <x:c r="G31" s="2"/>
      <x:c r="H31" s="2"/>
      <x:c r="I31" s="2"/>
      <x:c r="J31" s="2"/>
    </x:row>
    <x:row r="32" ht="21" customHeight="1">
      <x:c r="A32" s="2"/>
      <x:c r="B32" s="2"/>
      <x:c r="C32" s="2" t="str">
        <x:v>Combined cash is an operating-business and property measure, not property NOI. Other</x:v>
      </x:c>
      <x:c r="D32" s="2"/>
      <x:c r="E32" s="2"/>
      <x:c r="F32" s="2"/>
      <x:c r="G32" s="2"/>
      <x:c r="H32" s="2"/>
      <x:c r="I32" s="2"/>
      <x:c r="J32" s="2"/>
    </x:row>
    <x:row r="33" ht="21" customHeight="1">
      <x:c r="A33" s="2"/>
      <x:c r="B33" s="2"/>
      <x:c r="C33" s="2" t="str">
        <x:v>business debt, taxes/distributions and maintenance capital are deducted once before the</x:v>
      </x:c>
      <x:c r="D33" s="2"/>
      <x:c r="E33" s="2"/>
      <x:c r="F33" s="2"/>
      <x:c r="G33" s="2"/>
      <x:c r="H33" s="2"/>
      <x:c r="I33" s="2"/>
      <x:c r="J33" s="2"/>
    </x:row>
    <x:row r="34" ht="21" customHeight="1">
      <x:c r="A34" s="2"/>
      <x:c r="B34" s="2"/>
      <x:c r="C34" s="2" t="str">
        <x:v>residual property-debt proxy.</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Value and acquisition price refer only to the real estate. LTV never applies to</x:v>
      </x:c>
      <x:c r="D36" s="2"/>
      <x:c r="E36" s="2"/>
      <x:c r="F36" s="2"/>
      <x:c r="G36" s="2"/>
      <x:c r="H36" s="2"/>
      <x:c r="I36" s="2"/>
      <x:c r="J36" s="2"/>
    </x:row>
    <x:row r="37" ht="21" customHeight="1">
      <x:c r="A37" s="2"/>
      <x:c r="B37" s="2"/>
      <x:c r="C37" s="2" t="str">
        <x:v>enterprise value, goodwill, inventory or equipment. The modeled loan is property debt</x:v>
      </x:c>
      <x:c r="D37" s="2"/>
      <x:c r="E37" s="2"/>
      <x:c r="F37" s="2"/>
      <x:c r="G37" s="2"/>
      <x:c r="H37" s="2"/>
      <x:c r="I37" s="2"/>
      <x:c r="J37" s="2"/>
    </x:row>
    <x:row r="38" ht="21" customHeight="1">
      <x:c r="A38" s="2"/>
      <x:c r="B38" s="2"/>
      <x:c r="C38" s="2" t="str">
        <x:v>supported by residual combined cash, not a business-acquisition valuation or program</x:v>
      </x:c>
      <x:c r="D38" s="2"/>
      <x:c r="E38" s="2"/>
      <x:c r="F38" s="2"/>
      <x:c r="G38" s="2"/>
      <x:c r="H38" s="2"/>
      <x:c r="I38" s="2"/>
      <x:c r="J38" s="2"/>
    </x:row>
    <x:row r="39" ht="21" customHeight="1">
      <x:c r="A39" s="2"/>
      <x:c r="B39" s="2"/>
      <x:c r="C39" s="2" t="str">
        <x:v>eligibility test.</x:v>
      </x:c>
      <x:c r="D39" s="2"/>
      <x:c r="E39" s="2"/>
      <x:c r="F39" s="2"/>
      <x:c r="G39" s="2"/>
      <x:c r="H39" s="2"/>
      <x:c r="I39" s="2"/>
      <x:c r="J39" s="2"/>
    </x:row>
    <x:row r="40" ht="21" customHeight="1">
      <x:c r="A40" s="2"/>
      <x:c r="B40" s="2"/>
      <x:c r="C40" s="2"/>
      <x:c r="D40" s="2"/>
      <x:c r="E40" s="2"/>
      <x:c r="F40" s="2"/>
      <x:c r="G40" s="2"/>
      <x:c r="H40" s="2"/>
      <x:c r="I40" s="2"/>
      <x:c r="J40" s="2"/>
    </x:row>
    <x:row r="41" ht="21" customHeight="1">
      <x:c r="A41" s="2"/>
      <x:c r="B41" s="2"/>
      <x:c r="C41" s="2" t="str">
        <x:v>Business purchases, equipment purchases at closing and goodwill are excluded from the</x:v>
      </x:c>
      <x:c r="D41" s="2"/>
      <x:c r="E41" s="2"/>
      <x:c r="F41" s="2"/>
      <x:c r="G41" s="2"/>
      <x:c r="H41" s="2"/>
      <x:c r="I41" s="2"/>
      <x:c r="J41" s="2"/>
    </x:row>
    <x:row r="42" ht="21" customHeight="1">
      <x:c r="A42" s="2"/>
      <x:c r="B42" s="2"/>
      <x:c r="C42" s="2" t="str">
        <x:v>example acquisition uses. Reconcile their separate funding and resulting debt</x:v>
      </x:c>
      <x:c r="D42" s="2"/>
      <x:c r="E42" s="2"/>
      <x:c r="F42" s="2"/>
      <x:c r="G42" s="2"/>
      <x:c r="H42" s="2"/>
      <x:c r="I42" s="2"/>
      <x:c r="J42" s="2"/>
    </x:row>
    <x:row r="43" ht="21" customHeight="1">
      <x:c r="A43" s="2"/>
      <x:c r="B43" s="2"/>
      <x:c r="C43" s="2" t="str">
        <x:v>obligations before relying on the property-only equity gap. Include additional</x:v>
      </x:c>
      <x:c r="D43" s="2"/>
      <x:c r="E43" s="2"/>
      <x:c r="F43" s="2"/>
      <x:c r="G43" s="2"/>
      <x:c r="H43" s="2"/>
      <x:c r="I43" s="2"/>
      <x:c r="J43" s="2"/>
    </x:row>
    <x:row r="44" ht="21" customHeight="1">
      <x:c r="A44" s="2"/>
      <x:c r="B44" s="2"/>
      <x:c r="C44" s="2" t="str">
        <x:v>post-closing equipment or expansion cash in the capital schedule once.</x:v>
      </x:c>
      <x:c r="D44" s="2"/>
      <x:c r="E44" s="2"/>
      <x:c r="F44" s="2"/>
      <x:c r="G44" s="2"/>
      <x:c r="H44" s="2"/>
      <x:c r="I44" s="2"/>
      <x:c r="J44" s="2"/>
    </x:row>
    <x:row r="45" ht="21" customHeight="1">
      <x:c r="A45" s="2"/>
      <x:c r="B45" s="2"/>
      <x:c r="C45" s="2"/>
      <x:c r="D45" s="2"/>
      <x:c r="E45" s="2"/>
      <x:c r="F45" s="2"/>
      <x:c r="G45" s="2"/>
      <x:c r="H45" s="2"/>
      <x:c r="I45" s="2"/>
      <x:c r="J45" s="2"/>
    </x:row>
    <x:row r="46" ht="21" customHeight="1">
      <x:c r="A46" s="2"/>
      <x:c r="B46" s="2"/>
      <x:c r="C46" s="2" t="str">
        <x:v>Related-party rent is shown and eliminated. External property costs exclude mortgage</x:v>
      </x:c>
      <x:c r="D46" s="2"/>
      <x:c r="E46" s="2"/>
      <x:c r="F46" s="2"/>
      <x:c r="G46" s="2"/>
      <x:c r="H46" s="2"/>
      <x:c r="I46" s="2"/>
      <x:c r="J46" s="2"/>
    </x:row>
    <x:row r="47" ht="21" customHeight="1">
      <x:c r="A47" s="2"/>
      <x:c r="B47" s="2"/>
      <x:c r="C47" s="2" t="str">
        <x:v>debt and must not also appear in business operating inputs. No intercompany transfer</x:v>
      </x:c>
      <x:c r="D47" s="2"/>
      <x:c r="E47" s="2"/>
      <x:c r="F47" s="2"/>
      <x:c r="G47" s="2"/>
      <x:c r="H47" s="2"/>
      <x:c r="I47" s="2"/>
      <x:c r="J47" s="2"/>
    </x:row>
    <x:row r="48" ht="21" customHeight="1">
      <x:c r="A48" s="2"/>
      <x:c r="B48" s="2"/>
      <x:c r="C48" s="2" t="str">
        <x:v>permission is established.</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Maintenance capital is deducted before sizing. Additional expansion/property capital is</x:v>
      </x:c>
      <x:c r="D50" s="2"/>
      <x:c r="E50" s="2"/>
      <x:c r="F50" s="2"/>
      <x:c r="G50" s="2"/>
      <x:c r="H50" s="2"/>
      <x:c r="I50" s="2"/>
      <x:c r="J50" s="2"/>
    </x:row>
    <x:row r="51" ht="21" customHeight="1">
      <x:c r="A51" s="2"/>
      <x:c r="B51" s="2"/>
      <x:c r="C51" s="2" t="str">
        <x:v>deducted below residual cash. Do not enter the same cost in both places.</x:v>
      </x:c>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t="str">
        <x:v>All amounts are fictional. Residual coverage, value and cash tests do not establish bank</x:v>
      </x:c>
      <x:c r="D53" s="2"/>
      <x:c r="E53" s="2"/>
      <x:c r="F53" s="2"/>
      <x:c r="G53" s="2"/>
      <x:c r="H53" s="2"/>
      <x:c r="I53" s="2"/>
      <x:c r="J53" s="2"/>
    </x:row>
    <x:row r="54" ht="21" customHeight="1">
      <x:c r="A54" s="2"/>
      <x:c r="B54" s="2"/>
      <x:c r="C54" s="2" t="str">
        <x:v>DSCR, program eligibility, business value or a loan commitment.</x:v>
      </x:c>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t="str">
        <x:v>Published by Jaken Finance Group. 833-264-7776 | info@jakenfinancegroup.com.</x:v>
      </x:c>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t="str">
        <x:v>Every numerical assumption is illustrative. No current market quote, legal conclusion or</x:v>
      </x:c>
      <x:c r="D58" s="2"/>
      <x:c r="E58" s="2"/>
      <x:c r="F58" s="2"/>
      <x:c r="G58" s="2"/>
      <x:c r="H58" s="2"/>
      <x:c r="I58" s="2"/>
      <x:c r="J58" s="2"/>
    </x:row>
    <x:row r="59" ht="21" customHeight="1">
      <x:c r="A59" s="2"/>
      <x:c r="B59" s="2"/>
      <x:c r="C59" s="2" t="str">
        <x:v>lender eligibility is represented.</x:v>
      </x:c>
      <x:c r="D59" s="2"/>
      <x:c r="E59" s="2"/>
      <x:c r="F59" s="2"/>
      <x:c r="G59" s="2"/>
      <x:c r="H59" s="2"/>
      <x:c r="I59" s="2"/>
      <x:c r="J59" s="2"/>
    </x:row>
    <x:row r="60" ht="21" customHeight="1">
      <x:c r="A60" s="2"/>
      <x:c r="B60" s="2"/>
      <x:c r="C60" s="2"/>
      <x:c r="D60" s="2"/>
      <x:c r="E60" s="2"/>
      <x:c r="F60" s="2"/>
      <x:c r="G60" s="2"/>
      <x:c r="H60" s="2"/>
      <x:c r="I60" s="2"/>
      <x:c r="J60" s="2"/>
    </x:row>
    <x:row r="61">
      <x:c r="C61" s="72" t="str">
        <x:v>NCF is a modeled cash measure after cash reserve deposits. An actual lender may adjust</x:v>
      </x:c>
    </x:row>
    <x:row r="62">
      <x:c r="C62" s="72" t="str">
        <x:v>income, expenses, reserves, tax and business cash differently.</x:v>
      </x:c>
    </x:row>
    <x:row r="63">
      <x:c r="C63" s="72"/>
    </x:row>
    <x:row r="64">
      <x:c r="C64" s="72" t="str">
        <x:v>No tax return, appraisal, legal compliance, guaranty capacity or refinancing approval is</x:v>
      </x:c>
    </x:row>
    <x:row r="65">
      <x:c r="C65" s="72" t="str">
        <x:v>established by the calculations.</x:v>
      </x:c>
    </x:row>
    <x:row r="66">
      <x:c r="C66" s="72"/>
    </x:row>
    <x:row r="67">
      <x:c r="C67" s="72" t="str">
        <x:v>Calculation methods and conventions are shown here. Check Review and replace</x:v>
      </x:c>
    </x:row>
    <x:row r="68">
      <x:c r="C68" s="72" t="str">
        <x:v>illustrative inputs before relying on results.</x:v>
      </x:c>
    </x:row>
    <x:row r="69">
      <x:c r="C69" s="72"/>
    </x:row>
    <x:row r="70">
      <x:c r="C70" s="72"/>
    </x:row>
    <x:row r="71">
      <x:c r="C71" s="72"/>
    </x:row>
  </x:sheetData>
  <x:conditionalFormatting sqref="D10:D16">
    <x:cfRule type="expression" dxfId="5" priority="1">
      <x:formula>ABS(D10)&gt;0.01</x:formula>
    </x:cfRule>
  </x:conditionalFormatting>
  <x:pageMargins left="0.7" right="0.7" top="0.75" bottom="0.75" header="0.3" footer="0.3"/>
</x:worksheet>
</file>