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477ce369e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2a1f3fac531407e"/>
    <x:sheet xmlns:r="http://schemas.openxmlformats.org/officeDocument/2006/relationships" name="Assumptions" sheetId="2" r:id="Raaee85f8901c4193"/>
    <x:sheet xmlns:r="http://schemas.openxmlformats.org/officeDocument/2006/relationships" name="Property Rent and Plant" sheetId="3" r:id="Rf2232bdeb9534b4f"/>
    <x:sheet xmlns:r="http://schemas.openxmlformats.org/officeDocument/2006/relationships" name="Operations" sheetId="4" r:id="Rb85b096fc9e7435b"/>
    <x:sheet xmlns:r="http://schemas.openxmlformats.org/officeDocument/2006/relationships" name="Debt and Funding" sheetId="5" r:id="R0d6c24a7be2645de"/>
    <x:sheet xmlns:r="http://schemas.openxmlformats.org/officeDocument/2006/relationships" name="Review" sheetId="6" r:id="R2a1207dc62244e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d07aee72440ac" /><Relationship Type="http://schemas.openxmlformats.org/officeDocument/2006/relationships/theme" Target="/xl/theme/theme1.xml" Id="R4c62b46951e24d66" /><Relationship Type="http://schemas.openxmlformats.org/officeDocument/2006/relationships/sharedStrings" Target="/xl/sharedStrings.xml" Id="R6e56ce8b466e40ca" /><Relationship Type="http://schemas.openxmlformats.org/officeDocument/2006/relationships/worksheet" Target="/xl/worksheets/sheet1.xml" Id="R72a1f3fac531407e" /><Relationship Type="http://schemas.openxmlformats.org/officeDocument/2006/relationships/worksheet" Target="/xl/worksheets/sheet2.xml" Id="Raaee85f8901c4193" /><Relationship Type="http://schemas.openxmlformats.org/officeDocument/2006/relationships/worksheet" Target="/xl/worksheets/sheet3.xml" Id="Rf2232bdeb9534b4f" /><Relationship Type="http://schemas.openxmlformats.org/officeDocument/2006/relationships/worksheet" Target="/xl/worksheets/sheet4.xml" Id="Rb85b096fc9e7435b" /><Relationship Type="http://schemas.openxmlformats.org/officeDocument/2006/relationships/worksheet" Target="/xl/worksheets/sheet5.xml" Id="R0d6c24a7be2645de" /><Relationship Type="http://schemas.openxmlformats.org/officeDocument/2006/relationships/worksheet" Target="/xl/worksheets/sheet6.xml" Id="R2a1207dc62244e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Cold storage and refrigerated warehouses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'Operations'!E14</x:f>
        <x:v>2318000</x:v>
      </x:c>
      <x:c r="E10" s="2"/>
      <x:c r="F10" s="2"/>
      <x:c r="G10" s="68" t="n">
        <x:f>'Operations'!G9</x:f>
        <x:v>46388</x:v>
      </x:c>
      <x:c r="H10" s="69" t="n">
        <x:f>'Debt and Funding'!G36</x:f>
        <x:v>38531.49999999999</x:v>
      </x:c>
      <x:c r="I10" s="69" t="n">
        <x:f>'Debt and Funding'!G37</x:f>
        <x:v>438531.5</x:v>
      </x:c>
      <x:c r="J10" s="69" t="n">
        <x:f>'Debt and Funding'!G33</x:f>
        <x:v>11000000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'Operations'!E20</x:f>
        <x:v>992999.9999999999</x:v>
      </x:c>
      <x:c r="E11" s="2"/>
      <x:c r="F11" s="2"/>
      <x:c r="G11" s="68" t="n">
        <x:f>'Operations'!H9</x:f>
        <x:v>46419</x:v>
      </x:c>
      <x:c r="H11" s="69" t="n">
        <x:f>'Debt and Funding'!H36</x:f>
        <x:v>38531.49999999999</x:v>
      </x:c>
      <x:c r="I11" s="69" t="n">
        <x:f>'Debt and Funding'!H37</x:f>
        <x:v>477063</x:v>
      </x:c>
      <x:c r="J11" s="69" t="n">
        <x:f>'Debt and Funding'!H33</x:f>
        <x:v>11000000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'Operations'!E21</x:f>
        <x:v>1325000</x:v>
      </x:c>
      <x:c r="E12" s="2"/>
      <x:c r="F12" s="2"/>
      <x:c r="G12" s="68" t="n">
        <x:f>'Operations'!I9</x:f>
        <x:v>46447</x:v>
      </x:c>
      <x:c r="H12" s="69" t="n">
        <x:f>'Debt and Funding'!I36</x:f>
        <x:v>38531.49999999999</x:v>
      </x:c>
      <x:c r="I12" s="69" t="n">
        <x:f>'Debt and Funding'!I37</x:f>
        <x:v>515594.5</x:v>
      </x:c>
      <x:c r="J12" s="69" t="n">
        <x:f>'Debt and Funding'!I33</x:f>
        <x:v>11000000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'Operations'!E22</x:f>
        <x:v>69540</x:v>
      </x:c>
      <x:c r="E13" s="2"/>
      <x:c r="F13" s="2"/>
      <x:c r="G13" s="68" t="n">
        <x:f>'Operations'!J9</x:f>
        <x:v>46478</x:v>
      </x:c>
      <x:c r="H13" s="69" t="n">
        <x:f>'Debt and Funding'!J36</x:f>
        <x:v>38531.49999999999</x:v>
      </x:c>
      <x:c r="I13" s="69" t="n">
        <x:f>'Debt and Funding'!J37</x:f>
        <x:v>554126</x:v>
      </x:c>
      <x:c r="J13" s="69" t="n">
        <x:f>'Debt and Funding'!J33</x:f>
        <x:v>11000000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'Operations'!E23</x:f>
        <x:v>1255459.9999999998</x:v>
      </x:c>
      <x:c r="E14" s="2"/>
      <x:c r="F14" s="2"/>
      <x:c r="G14" s="68" t="n">
        <x:f>'Operations'!K9</x:f>
        <x:v>46508</x:v>
      </x:c>
      <x:c r="H14" s="69" t="n">
        <x:f>'Debt and Funding'!K36</x:f>
        <x:v>37347.89999999999</x:v>
      </x:c>
      <x:c r="I14" s="69" t="n">
        <x:f>'Debt and Funding'!K37</x:f>
        <x:v>591473.9</x:v>
      </x:c>
      <x:c r="J14" s="69" t="n">
        <x:f>'Debt and Funding'!K33</x:f>
        <x:v>11000000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1255459.9999999998</x:v>
      </x:c>
      <x:c r="E15" s="2"/>
      <x:c r="F15" s="2"/>
      <x:c r="G15" s="68" t="n">
        <x:f>'Operations'!L9</x:f>
        <x:v>46539</x:v>
      </x:c>
      <x:c r="H15" s="69" t="n">
        <x:f>'Debt and Funding'!L36</x:f>
        <x:v>37347.89999999999</x:v>
      </x:c>
      <x:c r="I15" s="69" t="n">
        <x:f>'Debt and Funding'!L37</x:f>
        <x:v>628821.8</x:v>
      </x:c>
      <x:c r="J15" s="69" t="n">
        <x:f>'Debt and Funding'!L33</x:f>
        <x:v>11000000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12395800.5964099</x:v>
      </x:c>
      <x:c r="E16" s="2"/>
      <x:c r="F16" s="2"/>
      <x:c r="G16" s="68" t="n">
        <x:f>'Operations'!M9</x:f>
        <x:v>46569</x:v>
      </x:c>
      <x:c r="H16" s="69" t="n">
        <x:f>'Debt and Funding'!M36</x:f>
        <x:v>-390341.55441490724</x:v>
      </x:c>
      <x:c r="I16" s="69" t="n">
        <x:f>'Debt and Funding'!M37</x:f>
        <x:v>238480.2455850928</x:v>
      </x:c>
      <x:c r="J16" s="69" t="n">
        <x:f>'Debt and Funding'!M33</x:f>
        <x:v>10985310.545585092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11700000</x:v>
      </x:c>
      <x:c r="E17" s="2"/>
      <x:c r="F17" s="2"/>
      <x:c r="G17" s="68" t="n">
        <x:f>'Operations'!N9</x:f>
        <x:v>46600</x:v>
      </x:c>
      <x:c r="H17" s="69" t="n">
        <x:f>'Debt and Funding'!N36</x:f>
        <x:v>162658.44558509276</x:v>
      </x:c>
      <x:c r="I17" s="69" t="n">
        <x:f>'Debt and Funding'!N37</x:f>
        <x:v>401138.6911701856</x:v>
      </x:c>
      <x:c r="J17" s="69" t="n">
        <x:f>'Debt and Funding'!N33</x:f>
        <x:v>10970541.523292104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13949555.555555554</x:v>
      </x:c>
      <x:c r="E18" s="2"/>
      <x:c r="F18" s="2"/>
      <x:c r="G18" s="68" t="n">
        <x:f>'Operations'!O9</x:f>
        <x:v>46631</x:v>
      </x:c>
      <x:c r="H18" s="69" t="n">
        <x:f>'Debt and Funding'!O36</x:f>
        <x:v>22658.445585092748</x:v>
      </x:c>
      <x:c r="I18" s="69" t="n">
        <x:f>'Debt and Funding'!O37</x:f>
        <x:v>423797.13675527833</x:v>
      </x:c>
      <x:c r="J18" s="69" t="n">
        <x:f>'Debt and Funding'!O33</x:f>
        <x:v>10955692.502128363</x:v>
      </x:c>
      <x:c r="K18" s="2"/>
      <x:c r="L18" s="2"/>
    </x:row>
    <x:row r="19" ht="21" customHeight="1">
      <x:c r="A19" s="2"/>
      <x:c r="B19" s="2"/>
      <x:c r="C19" s="56" t="str">
        <x:v>Sized loan</x:v>
      </x:c>
      <x:c r="D19" s="65" t="n">
        <x:f>'Debt and Funding'!D14</x:f>
        <x:v>11000000</x:v>
      </x:c>
      <x:c r="E19" s="2"/>
      <x:c r="F19" s="2"/>
      <x:c r="G19" s="68" t="n">
        <x:f>'Operations'!P9</x:f>
        <x:v>46661</x:v>
      </x:c>
      <x:c r="H19" s="69" t="n">
        <x:f>'Debt and Funding'!P36</x:f>
        <x:v>23842.045585092754</x:v>
      </x:c>
      <x:c r="I19" s="69" t="n">
        <x:f>'Debt and Funding'!P37</x:f>
        <x:v>447639.1823403711</x:v>
      </x:c>
      <x:c r="J19" s="69" t="n">
        <x:f>'Debt and Funding'!P33</x:f>
        <x:v>10940763.04876665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6" t="str">
        <x:f>'Debt and Funding'!D15</x:f>
        <x:v>Requested ceiling</x:v>
      </x:c>
      <x:c r="E20" s="2"/>
      <x:c r="F20" s="2"/>
      <x:c r="G20" s="68" t="n">
        <x:f>'Operations'!Q9</x:f>
        <x:v>46692</x:v>
      </x:c>
      <x:c r="H20" s="69" t="n">
        <x:f>'Debt and Funding'!Q36</x:f>
        <x:v>23842.045585092754</x:v>
      </x:c>
      <x:c r="I20" s="69" t="n">
        <x:f>'Debt and Funding'!Q37</x:f>
        <x:v>471481.2279254638</x:v>
      </x:c>
      <x:c r="J20" s="69" t="n">
        <x:f>'Debt and Funding'!Q33</x:f>
        <x:v>10925752.727532562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803136.7264894436</x:v>
      </x:c>
      <x:c r="E21" s="2"/>
      <x:c r="F21" s="2"/>
      <x:c r="G21" s="68" t="n">
        <x:f>'Operations'!R9</x:f>
        <x:v>46722</x:v>
      </x:c>
      <x:c r="H21" s="69" t="n">
        <x:f>'Debt and Funding'!R36</x:f>
        <x:v>23842.045585092754</x:v>
      </x:c>
      <x:c r="I21" s="69" t="n">
        <x:f>'Debt and Funding'!R37</x:f>
        <x:v>495323.27351055655</x:v>
      </x:c>
      <x:c r="J21" s="69" t="n">
        <x:f>'Debt and Funding'!R33</x:f>
        <x:v>10910661.10039179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7" t="n">
        <x:f>'Debt and Funding'!D44</x:f>
        <x:v>1.563195852700806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6150000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1850000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6" t="str">
        <x:v>Sponsor cash after all modeled needs</x:v>
      </x:c>
      <x:c r="D26" s="65" t="n">
        <x:f>'Debt and Funding'!D47</x:f>
        <x:v>1850000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10910661.10039179</x:v>
      </x:c>
      <x:c r="E27" s="2"/>
      <x:c r="F27" s="2"/>
      <x:c r="G27" s="2" t="str">
        <x:v>Edit blue cells in Property Rent and Plant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10081437.355774214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18000000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18000000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15500000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16500000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16500000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16500000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400000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400000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400000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8000000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8000000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8000000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11000000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11000000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11000000</x:v>
      </x:c>
      <x:c r="E30" s="2"/>
      <x:c r="F30" s="2"/>
      <x:c r="G30" s="42" t="str">
        <x:v>Scope is leased real estate with identified landlord-paid plant obligations. Storage, handling, distribution, inventory and customer-service business receipts are excluded; the workbook is not a cold-chain operator model.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Only contracted property area produces rent. Utility cost is entered directly, including idle-plant costs. The recovery fraction assumes collection in the same month; replace the cash pattern if the lease has caps or delays.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Refrigeration maintenance and additional plant insurance exclude fixed property costs. Plant replacement is capital below NCF. Capital reimbursement is also below NCF; a negative net-capital month is a cash recovery, not rental income.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Identify equipment ownership, permitted refrigerant use, utility supply and maintenance responsibilities separately. Lease cash, a specialized building and operator earnings do not establish the same collateral value or lender income recognition.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320000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320000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355000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Total refrigerated property area</x:v>
      </x:c>
      <x:c r="D73" s="37" t="n">
        <x:f>IF($D$5=1,IF(ISNUMBER(D74),IF(AND(D74&gt;=0,D74&lt;=1000000000000),D74,"n.a."),"n.a."),IF($D$5=2,IF(ISNUMBER(D75),IF(AND(D75&gt;=0,D75&lt;=1000000000000),D75,"n.a."),"n.a."),"n.a."))</x:f>
        <x:v>110000</x:v>
      </x:c>
      <x:c r="E73" s="22" t="str">
        <x:v>sf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110000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110000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1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</x:sheetData>
  <x:dataValidations count="46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Property Rent and Plant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Contracted leased area</x:v>
      </x:c>
      <x:c r="E9" s="21" t="str">
        <x:v>Annual property rent / sf</x:v>
      </x:c>
      <x:c r="F9" s="21" t="str">
        <x:v>Rent collection fraction</x:v>
      </x:c>
      <x:c r="G9" s="21" t="str">
        <x:v>Landlord-paid utility expense</x:v>
      </x:c>
      <x:c r="H9" s="21" t="str">
        <x:v>Utility expense recovered in cash</x:v>
      </x:c>
      <x:c r="I9" s="21" t="str">
        <x:v>Refrigeration maintenance cash</x:v>
      </x:c>
      <x:c r="J9" s="21" t="str">
        <x:v>Additional plant insurance cash</x:v>
      </x:c>
      <x:c r="K9" s="21" t="str">
        <x:v>Landlord plant and building capital</x:v>
      </x:c>
      <x:c r="L9" s="21" t="str">
        <x:v>Capital reimbursement received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100000</x:v>
      </x:c>
      <x:c r="E10" s="27" t="n">
        <x:v>19</x:v>
      </x:c>
      <x:c r="F10" s="30" t="n">
        <x:v>0.99</x:v>
      </x:c>
      <x:c r="G10" s="27" t="n">
        <x:v>35000</x:v>
      </x:c>
      <x:c r="H10" s="30" t="n">
        <x:v>0.92</x:v>
      </x:c>
      <x:c r="I10" s="27" t="n">
        <x:v>14000</x:v>
      </x:c>
      <x:c r="J10" s="27" t="n">
        <x:v>2500</x:v>
      </x:c>
      <x:c r="K10" s="27" t="n">
        <x:v>7000</x:v>
      </x:c>
      <x:c r="L10" s="27" t="n">
        <x:v>0</x:v>
      </x:c>
      <x:c r="M10" s="2"/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1)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100000</x:v>
      </x:c>
      <x:c r="E11" s="27" t="n">
        <x:v>19</x:v>
      </x:c>
      <x:c r="F11" s="30" t="n">
        <x:v>0.99</x:v>
      </x:c>
      <x:c r="G11" s="27" t="n">
        <x:v>35000</x:v>
      </x:c>
      <x:c r="H11" s="30" t="n">
        <x:v>0.92</x:v>
      </x:c>
      <x:c r="I11" s="27" t="n">
        <x:v>14000</x:v>
      </x:c>
      <x:c r="J11" s="27" t="n">
        <x:v>2500</x:v>
      </x:c>
      <x:c r="K11" s="27" t="n">
        <x:v>7000</x:v>
      </x:c>
      <x:c r="L11" s="27" t="n">
        <x:v>0</x:v>
      </x:c>
      <x:c r="M11" s="2"/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1)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100000</x:v>
      </x:c>
      <x:c r="E12" s="27" t="n">
        <x:v>19</x:v>
      </x:c>
      <x:c r="F12" s="30" t="n">
        <x:v>0.99</x:v>
      </x:c>
      <x:c r="G12" s="27" t="n">
        <x:v>35000</x:v>
      </x:c>
      <x:c r="H12" s="30" t="n">
        <x:v>0.92</x:v>
      </x:c>
      <x:c r="I12" s="27" t="n">
        <x:v>14000</x:v>
      </x:c>
      <x:c r="J12" s="27" t="n">
        <x:v>2500</x:v>
      </x:c>
      <x:c r="K12" s="27" t="n">
        <x:v>7000</x:v>
      </x:c>
      <x:c r="L12" s="27" t="n">
        <x:v>0</x:v>
      </x:c>
      <x:c r="M12" s="2"/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1)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100000</x:v>
      </x:c>
      <x:c r="E13" s="27" t="n">
        <x:v>19</x:v>
      </x:c>
      <x:c r="F13" s="30" t="n">
        <x:v>0.99</x:v>
      </x:c>
      <x:c r="G13" s="27" t="n">
        <x:v>35000</x:v>
      </x:c>
      <x:c r="H13" s="30" t="n">
        <x:v>0.92</x:v>
      </x:c>
      <x:c r="I13" s="27" t="n">
        <x:v>14000</x:v>
      </x:c>
      <x:c r="J13" s="27" t="n">
        <x:v>2500</x:v>
      </x:c>
      <x:c r="K13" s="27" t="n">
        <x:v>7000</x:v>
      </x:c>
      <x:c r="L13" s="27" t="n">
        <x:v>0</x:v>
      </x:c>
      <x:c r="M13" s="2"/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1)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100000</x:v>
      </x:c>
      <x:c r="E14" s="27" t="n">
        <x:v>19</x:v>
      </x:c>
      <x:c r="F14" s="30" t="n">
        <x:v>0.99</x:v>
      </x:c>
      <x:c r="G14" s="27" t="n">
        <x:v>46000</x:v>
      </x:c>
      <x:c r="H14" s="30" t="n">
        <x:v>0.92</x:v>
      </x:c>
      <x:c r="I14" s="27" t="n">
        <x:v>14000</x:v>
      </x:c>
      <x:c r="J14" s="27" t="n">
        <x:v>2500</x:v>
      </x:c>
      <x:c r="K14" s="27" t="n">
        <x:v>7000</x:v>
      </x:c>
      <x:c r="L14" s="27" t="n">
        <x:v>0</x:v>
      </x:c>
      <x:c r="M14" s="2"/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1)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100000</x:v>
      </x:c>
      <x:c r="E15" s="27" t="n">
        <x:v>19</x:v>
      </x:c>
      <x:c r="F15" s="30" t="n">
        <x:v>0.99</x:v>
      </x:c>
      <x:c r="G15" s="27" t="n">
        <x:v>46000</x:v>
      </x:c>
      <x:c r="H15" s="30" t="n">
        <x:v>0.92</x:v>
      </x:c>
      <x:c r="I15" s="27" t="n">
        <x:v>14000</x:v>
      </x:c>
      <x:c r="J15" s="27" t="n">
        <x:v>2500</x:v>
      </x:c>
      <x:c r="K15" s="27" t="n">
        <x:v>7000</x:v>
      </x:c>
      <x:c r="L15" s="27" t="n">
        <x:v>0</x:v>
      </x:c>
      <x:c r="M15" s="2"/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1)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100000</x:v>
      </x:c>
      <x:c r="E16" s="27" t="n">
        <x:v>19</x:v>
      </x:c>
      <x:c r="F16" s="30" t="n">
        <x:v>0.99</x:v>
      </x:c>
      <x:c r="G16" s="27" t="n">
        <x:v>46000</x:v>
      </x:c>
      <x:c r="H16" s="30" t="n">
        <x:v>0.92</x:v>
      </x:c>
      <x:c r="I16" s="27" t="n">
        <x:v>14000</x:v>
      </x:c>
      <x:c r="J16" s="27" t="n">
        <x:v>2500</x:v>
      </x:c>
      <x:c r="K16" s="27" t="n">
        <x:v>420000</x:v>
      </x:c>
      <x:c r="L16" s="27" t="n">
        <x:v>0</x:v>
      </x:c>
      <x:c r="M16" s="2"/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1)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100000</x:v>
      </x:c>
      <x:c r="E17" s="27" t="n">
        <x:v>19</x:v>
      </x:c>
      <x:c r="F17" s="30" t="n">
        <x:v>0.99</x:v>
      </x:c>
      <x:c r="G17" s="27" t="n">
        <x:v>46000</x:v>
      </x:c>
      <x:c r="H17" s="30" t="n">
        <x:v>0.92</x:v>
      </x:c>
      <x:c r="I17" s="27" t="n">
        <x:v>14000</x:v>
      </x:c>
      <x:c r="J17" s="27" t="n">
        <x:v>2500</x:v>
      </x:c>
      <x:c r="K17" s="27" t="n">
        <x:v>7000</x:v>
      </x:c>
      <x:c r="L17" s="27" t="n">
        <x:v>140000</x:v>
      </x:c>
      <x:c r="M17" s="2"/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1)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100000</x:v>
      </x:c>
      <x:c r="E18" s="27" t="n">
        <x:v>19</x:v>
      </x:c>
      <x:c r="F18" s="30" t="n">
        <x:v>0.99</x:v>
      </x:c>
      <x:c r="G18" s="27" t="n">
        <x:v>46000</x:v>
      </x:c>
      <x:c r="H18" s="30" t="n">
        <x:v>0.92</x:v>
      </x:c>
      <x:c r="I18" s="27" t="n">
        <x:v>14000</x:v>
      </x:c>
      <x:c r="J18" s="27" t="n">
        <x:v>2500</x:v>
      </x:c>
      <x:c r="K18" s="27" t="n">
        <x:v>7000</x:v>
      </x:c>
      <x:c r="L18" s="27" t="n">
        <x:v>0</x:v>
      </x:c>
      <x:c r="M18" s="2"/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1)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100000</x:v>
      </x:c>
      <x:c r="E19" s="27" t="n">
        <x:v>19</x:v>
      </x:c>
      <x:c r="F19" s="30" t="n">
        <x:v>0.99</x:v>
      </x:c>
      <x:c r="G19" s="27" t="n">
        <x:v>35000</x:v>
      </x:c>
      <x:c r="H19" s="30" t="n">
        <x:v>0.92</x:v>
      </x:c>
      <x:c r="I19" s="27" t="n">
        <x:v>14000</x:v>
      </x:c>
      <x:c r="J19" s="27" t="n">
        <x:v>2500</x:v>
      </x:c>
      <x:c r="K19" s="27" t="n">
        <x:v>7000</x:v>
      </x:c>
      <x:c r="L19" s="27" t="n">
        <x:v>0</x:v>
      </x:c>
      <x:c r="M19" s="2"/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1)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100000</x:v>
      </x:c>
      <x:c r="E20" s="27" t="n">
        <x:v>19</x:v>
      </x:c>
      <x:c r="F20" s="30" t="n">
        <x:v>0.99</x:v>
      </x:c>
      <x:c r="G20" s="27" t="n">
        <x:v>35000</x:v>
      </x:c>
      <x:c r="H20" s="30" t="n">
        <x:v>0.92</x:v>
      </x:c>
      <x:c r="I20" s="27" t="n">
        <x:v>14000</x:v>
      </x:c>
      <x:c r="J20" s="27" t="n">
        <x:v>2500</x:v>
      </x:c>
      <x:c r="K20" s="27" t="n">
        <x:v>7000</x:v>
      </x:c>
      <x:c r="L20" s="27" t="n">
        <x:v>0</x:v>
      </x:c>
      <x:c r="M20" s="2"/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1)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100000</x:v>
      </x:c>
      <x:c r="E21" s="27" t="n">
        <x:v>19</x:v>
      </x:c>
      <x:c r="F21" s="30" t="n">
        <x:v>0.99</x:v>
      </x:c>
      <x:c r="G21" s="27" t="n">
        <x:v>35000</x:v>
      </x:c>
      <x:c r="H21" s="30" t="n">
        <x:v>0.92</x:v>
      </x:c>
      <x:c r="I21" s="27" t="n">
        <x:v>14000</x:v>
      </x:c>
      <x:c r="J21" s="27" t="n">
        <x:v>2500</x:v>
      </x:c>
      <x:c r="K21" s="27" t="n">
        <x:v>7000</x:v>
      </x:c>
      <x:c r="L21" s="27" t="n">
        <x:v>0</x:v>
      </x:c>
      <x:c r="M21" s="2"/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1)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Leased area within property capacity</x:v>
      </x:c>
      <x:c r="D10" s="2" t="str">
        <x:v>sf avg</x:v>
      </x:c>
      <x:c r="E10" s="49" t="n">
        <x:f>IF(COUNT(G10:R10)=12,AVERAGE(G10:R10),"n.a.")</x:f>
        <x:v>100000</x:v>
      </x:c>
      <x:c r="F10" s="2"/>
      <x:c r="G10" s="48" t="n">
        <x:f>IF(AND('Property Rent and Plant'!N10="OK"),IF(AND(ISNUMBER('Assumptions'!$D$73),ISNUMBER('Property Rent and Plant'!$D$10),ISNUMBER('Assumptions'!$D$61)),MIN('Assumptions'!$D$73,'Property Rent and Plant'!$D$10*'Assumptions'!$D$61),"n.a."),"n.a.")</x:f>
        <x:v>100000</x:v>
      </x:c>
      <x:c r="H10" s="48" t="n">
        <x:f>IF(AND('Property Rent and Plant'!N11="OK"),IF(AND(ISNUMBER('Assumptions'!$D$73),ISNUMBER('Property Rent and Plant'!$D$11),ISNUMBER('Assumptions'!$D$61)),MIN('Assumptions'!$D$73,'Property Rent and Plant'!$D$11*'Assumptions'!$D$61),"n.a."),"n.a.")</x:f>
        <x:v>100000</x:v>
      </x:c>
      <x:c r="I10" s="48" t="n">
        <x:f>IF(AND('Property Rent and Plant'!N12="OK"),IF(AND(ISNUMBER('Assumptions'!$D$73),ISNUMBER('Property Rent and Plant'!$D$12),ISNUMBER('Assumptions'!$D$61)),MIN('Assumptions'!$D$73,'Property Rent and Plant'!$D$12*'Assumptions'!$D$61),"n.a."),"n.a.")</x:f>
        <x:v>100000</x:v>
      </x:c>
      <x:c r="J10" s="48" t="n">
        <x:f>IF(AND('Property Rent and Plant'!N13="OK"),IF(AND(ISNUMBER('Assumptions'!$D$73),ISNUMBER('Property Rent and Plant'!$D$13),ISNUMBER('Assumptions'!$D$61)),MIN('Assumptions'!$D$73,'Property Rent and Plant'!$D$13*'Assumptions'!$D$61),"n.a."),"n.a.")</x:f>
        <x:v>100000</x:v>
      </x:c>
      <x:c r="K10" s="48" t="n">
        <x:f>IF(AND('Property Rent and Plant'!N14="OK"),IF(AND(ISNUMBER('Assumptions'!$D$73),ISNUMBER('Property Rent and Plant'!$D$14),ISNUMBER('Assumptions'!$D$61)),MIN('Assumptions'!$D$73,'Property Rent and Plant'!$D$14*'Assumptions'!$D$61),"n.a."),"n.a.")</x:f>
        <x:v>100000</x:v>
      </x:c>
      <x:c r="L10" s="48" t="n">
        <x:f>IF(AND('Property Rent and Plant'!N15="OK"),IF(AND(ISNUMBER('Assumptions'!$D$73),ISNUMBER('Property Rent and Plant'!$D$15),ISNUMBER('Assumptions'!$D$61)),MIN('Assumptions'!$D$73,'Property Rent and Plant'!$D$15*'Assumptions'!$D$61),"n.a."),"n.a.")</x:f>
        <x:v>100000</x:v>
      </x:c>
      <x:c r="M10" s="48" t="n">
        <x:f>IF(AND('Property Rent and Plant'!N16="OK"),IF(AND(ISNUMBER('Assumptions'!$D$73),ISNUMBER('Property Rent and Plant'!$D$16),ISNUMBER('Assumptions'!$D$61)),MIN('Assumptions'!$D$73,'Property Rent and Plant'!$D$16*'Assumptions'!$D$61),"n.a."),"n.a.")</x:f>
        <x:v>100000</x:v>
      </x:c>
      <x:c r="N10" s="48" t="n">
        <x:f>IF(AND('Property Rent and Plant'!N17="OK"),IF(AND(ISNUMBER('Assumptions'!$D$73),ISNUMBER('Property Rent and Plant'!$D$17),ISNUMBER('Assumptions'!$D$61)),MIN('Assumptions'!$D$73,'Property Rent and Plant'!$D$17*'Assumptions'!$D$61),"n.a."),"n.a.")</x:f>
        <x:v>100000</x:v>
      </x:c>
      <x:c r="O10" s="48" t="n">
        <x:f>IF(AND('Property Rent and Plant'!N18="OK"),IF(AND(ISNUMBER('Assumptions'!$D$73),ISNUMBER('Property Rent and Plant'!$D$18),ISNUMBER('Assumptions'!$D$61)),MIN('Assumptions'!$D$73,'Property Rent and Plant'!$D$18*'Assumptions'!$D$61),"n.a."),"n.a.")</x:f>
        <x:v>100000</x:v>
      </x:c>
      <x:c r="P10" s="48" t="n">
        <x:f>IF(AND('Property Rent and Plant'!N19="OK"),IF(AND(ISNUMBER('Assumptions'!$D$73),ISNUMBER('Property Rent and Plant'!$D$19),ISNUMBER('Assumptions'!$D$61)),MIN('Assumptions'!$D$73,'Property Rent and Plant'!$D$19*'Assumptions'!$D$61),"n.a."),"n.a.")</x:f>
        <x:v>100000</x:v>
      </x:c>
      <x:c r="Q10" s="48" t="n">
        <x:f>IF(AND('Property Rent and Plant'!N20="OK"),IF(AND(ISNUMBER('Assumptions'!$D$73),ISNUMBER('Property Rent and Plant'!$D$20),ISNUMBER('Assumptions'!$D$61)),MIN('Assumptions'!$D$73,'Property Rent and Plant'!$D$20*'Assumptions'!$D$61),"n.a."),"n.a.")</x:f>
        <x:v>100000</x:v>
      </x:c>
      <x:c r="R10" s="48" t="n">
        <x:f>IF(AND('Property Rent and Plant'!N21="OK"),IF(AND(ISNUMBER('Assumptions'!$D$73),ISNUMBER('Property Rent and Plant'!$D$21),ISNUMBER('Assumptions'!$D$61)),MIN('Assumptions'!$D$73,'Property Rent and Plant'!$D$21*'Assumptions'!$D$61),"n.a."),"n.a.")</x:f>
        <x:v>100000</x:v>
      </x:c>
    </x:row>
    <x:row r="11" ht="21" customHeight="1">
      <x:c r="A11" s="2"/>
      <x:c r="B11" s="2"/>
      <x:c r="C11" s="2" t="str">
        <x:v>Collected real-property rent</x:v>
      </x:c>
      <x:c r="D11" s="2" t="str">
        <x:v>USD</x:v>
      </x:c>
      <x:c r="E11" s="52" t="n">
        <x:f>IF(COUNT(G11:R11)=12,SUM(G11:R11),"n.a.")</x:f>
        <x:v>1881000</x:v>
      </x:c>
      <x:c r="F11" s="2"/>
      <x:c r="G11" s="51" t="n">
        <x:f>IF(AND('Property Rent and Plant'!N10="OK"),IF(AND(ISNUMBER(G10),ISNUMBER('Property Rent and Plant'!$E$10),ISNUMBER('Property Rent and Plant'!$F$10),ISNUMBER('Assumptions'!$D$64)),G10*'Property Rent and Plant'!$E$10/12*'Property Rent and Plant'!$F$10*'Assumptions'!$D$64,"n.a."),"n.a.")</x:f>
        <x:v>156750</x:v>
      </x:c>
      <x:c r="H11" s="51" t="n">
        <x:f>IF(AND('Property Rent and Plant'!N11="OK"),IF(AND(ISNUMBER(H10),ISNUMBER('Property Rent and Plant'!$E$11),ISNUMBER('Property Rent and Plant'!$F$11),ISNUMBER('Assumptions'!$D$64)),H10*'Property Rent and Plant'!$E$11/12*'Property Rent and Plant'!$F$11*'Assumptions'!$D$64,"n.a."),"n.a.")</x:f>
        <x:v>156750</x:v>
      </x:c>
      <x:c r="I11" s="51" t="n">
        <x:f>IF(AND('Property Rent and Plant'!N12="OK"),IF(AND(ISNUMBER(I10),ISNUMBER('Property Rent and Plant'!$E$12),ISNUMBER('Property Rent and Plant'!$F$12),ISNUMBER('Assumptions'!$D$64)),I10*'Property Rent and Plant'!$E$12/12*'Property Rent and Plant'!$F$12*'Assumptions'!$D$64,"n.a."),"n.a.")</x:f>
        <x:v>156750</x:v>
      </x:c>
      <x:c r="J11" s="51" t="n">
        <x:f>IF(AND('Property Rent and Plant'!N13="OK"),IF(AND(ISNUMBER(J10),ISNUMBER('Property Rent and Plant'!$E$13),ISNUMBER('Property Rent and Plant'!$F$13),ISNUMBER('Assumptions'!$D$64)),J10*'Property Rent and Plant'!$E$13/12*'Property Rent and Plant'!$F$13*'Assumptions'!$D$64,"n.a."),"n.a.")</x:f>
        <x:v>156750</x:v>
      </x:c>
      <x:c r="K11" s="51" t="n">
        <x:f>IF(AND('Property Rent and Plant'!N14="OK"),IF(AND(ISNUMBER(K10),ISNUMBER('Property Rent and Plant'!$E$14),ISNUMBER('Property Rent and Plant'!$F$14),ISNUMBER('Assumptions'!$D$64)),K10*'Property Rent and Plant'!$E$14/12*'Property Rent and Plant'!$F$14*'Assumptions'!$D$64,"n.a."),"n.a.")</x:f>
        <x:v>156750</x:v>
      </x:c>
      <x:c r="L11" s="51" t="n">
        <x:f>IF(AND('Property Rent and Plant'!N15="OK"),IF(AND(ISNUMBER(L10),ISNUMBER('Property Rent and Plant'!$E$15),ISNUMBER('Property Rent and Plant'!$F$15),ISNUMBER('Assumptions'!$D$64)),L10*'Property Rent and Plant'!$E$15/12*'Property Rent and Plant'!$F$15*'Assumptions'!$D$64,"n.a."),"n.a.")</x:f>
        <x:v>156750</x:v>
      </x:c>
      <x:c r="M11" s="51" t="n">
        <x:f>IF(AND('Property Rent and Plant'!N16="OK"),IF(AND(ISNUMBER(M10),ISNUMBER('Property Rent and Plant'!$E$16),ISNUMBER('Property Rent and Plant'!$F$16),ISNUMBER('Assumptions'!$D$64)),M10*'Property Rent and Plant'!$E$16/12*'Property Rent and Plant'!$F$16*'Assumptions'!$D$64,"n.a."),"n.a.")</x:f>
        <x:v>156750</x:v>
      </x:c>
      <x:c r="N11" s="51" t="n">
        <x:f>IF(AND('Property Rent and Plant'!N17="OK"),IF(AND(ISNUMBER(N10),ISNUMBER('Property Rent and Plant'!$E$17),ISNUMBER('Property Rent and Plant'!$F$17),ISNUMBER('Assumptions'!$D$64)),N10*'Property Rent and Plant'!$E$17/12*'Property Rent and Plant'!$F$17*'Assumptions'!$D$64,"n.a."),"n.a.")</x:f>
        <x:v>156750</x:v>
      </x:c>
      <x:c r="O11" s="51" t="n">
        <x:f>IF(AND('Property Rent and Plant'!N18="OK"),IF(AND(ISNUMBER(O10),ISNUMBER('Property Rent and Plant'!$E$18),ISNUMBER('Property Rent and Plant'!$F$18),ISNUMBER('Assumptions'!$D$64)),O10*'Property Rent and Plant'!$E$18/12*'Property Rent and Plant'!$F$18*'Assumptions'!$D$64,"n.a."),"n.a.")</x:f>
        <x:v>156750</x:v>
      </x:c>
      <x:c r="P11" s="51" t="n">
        <x:f>IF(AND('Property Rent and Plant'!N19="OK"),IF(AND(ISNUMBER(P10),ISNUMBER('Property Rent and Plant'!$E$19),ISNUMBER('Property Rent and Plant'!$F$19),ISNUMBER('Assumptions'!$D$64)),P10*'Property Rent and Plant'!$E$19/12*'Property Rent and Plant'!$F$19*'Assumptions'!$D$64,"n.a."),"n.a.")</x:f>
        <x:v>156750</x:v>
      </x:c>
      <x:c r="Q11" s="51" t="n">
        <x:f>IF(AND('Property Rent and Plant'!N20="OK"),IF(AND(ISNUMBER(Q10),ISNUMBER('Property Rent and Plant'!$E$20),ISNUMBER('Property Rent and Plant'!$F$20),ISNUMBER('Assumptions'!$D$64)),Q10*'Property Rent and Plant'!$E$20/12*'Property Rent and Plant'!$F$20*'Assumptions'!$D$64,"n.a."),"n.a.")</x:f>
        <x:v>156750</x:v>
      </x:c>
      <x:c r="R11" s="51" t="n">
        <x:f>IF(AND('Property Rent and Plant'!N21="OK"),IF(AND(ISNUMBER(R10),ISNUMBER('Property Rent and Plant'!$E$21),ISNUMBER('Property Rent and Plant'!$F$21),ISNUMBER('Assumptions'!$D$64)),R10*'Property Rent and Plant'!$E$21/12*'Property Rent and Plant'!$F$21*'Assumptions'!$D$64,"n.a."),"n.a.")</x:f>
        <x:v>156750</x:v>
      </x:c>
    </x:row>
    <x:row r="12" ht="21" customHeight="1">
      <x:c r="A12" s="2"/>
      <x:c r="B12" s="2"/>
      <x:c r="C12" s="2" t="str">
        <x:v>Landlord-paid utilities</x:v>
      </x:c>
      <x:c r="D12" s="2" t="str">
        <x:v>USD</x:v>
      </x:c>
      <x:c r="E12" s="52" t="n">
        <x:f>IF(COUNT(G12:R12)=12,SUM(G12:R12),"n.a.")</x:f>
        <x:v>475000</x:v>
      </x:c>
      <x:c r="F12" s="2"/>
      <x:c r="G12" s="51" t="n">
        <x:f>IF(AND('Property Rent and Plant'!N10="OK"),IF(AND(ISNUMBER('Property Rent and Plant'!$G$10),ISNUMBER('Assumptions'!$D$67)),'Property Rent and Plant'!$G$10*'Assumptions'!$D$67,"n.a."),"n.a.")</x:f>
        <x:v>35000</x:v>
      </x:c>
      <x:c r="H12" s="51" t="n">
        <x:f>IF(AND('Property Rent and Plant'!N11="OK"),IF(AND(ISNUMBER('Property Rent and Plant'!$G$11),ISNUMBER('Assumptions'!$D$67)),'Property Rent and Plant'!$G$11*'Assumptions'!$D$67,"n.a."),"n.a.")</x:f>
        <x:v>35000</x:v>
      </x:c>
      <x:c r="I12" s="51" t="n">
        <x:f>IF(AND('Property Rent and Plant'!N12="OK"),IF(AND(ISNUMBER('Property Rent and Plant'!$G$12),ISNUMBER('Assumptions'!$D$67)),'Property Rent and Plant'!$G$12*'Assumptions'!$D$67,"n.a."),"n.a.")</x:f>
        <x:v>35000</x:v>
      </x:c>
      <x:c r="J12" s="51" t="n">
        <x:f>IF(AND('Property Rent and Plant'!N13="OK"),IF(AND(ISNUMBER('Property Rent and Plant'!$G$13),ISNUMBER('Assumptions'!$D$67)),'Property Rent and Plant'!$G$13*'Assumptions'!$D$67,"n.a."),"n.a.")</x:f>
        <x:v>35000</x:v>
      </x:c>
      <x:c r="K12" s="51" t="n">
        <x:f>IF(AND('Property Rent and Plant'!N14="OK"),IF(AND(ISNUMBER('Property Rent and Plant'!$G$14),ISNUMBER('Assumptions'!$D$67)),'Property Rent and Plant'!$G$14*'Assumptions'!$D$67,"n.a."),"n.a.")</x:f>
        <x:v>46000</x:v>
      </x:c>
      <x:c r="L12" s="51" t="n">
        <x:f>IF(AND('Property Rent and Plant'!N15="OK"),IF(AND(ISNUMBER('Property Rent and Plant'!$G$15),ISNUMBER('Assumptions'!$D$67)),'Property Rent and Plant'!$G$15*'Assumptions'!$D$67,"n.a."),"n.a.")</x:f>
        <x:v>46000</x:v>
      </x:c>
      <x:c r="M12" s="51" t="n">
        <x:f>IF(AND('Property Rent and Plant'!N16="OK"),IF(AND(ISNUMBER('Property Rent and Plant'!$G$16),ISNUMBER('Assumptions'!$D$67)),'Property Rent and Plant'!$G$16*'Assumptions'!$D$67,"n.a."),"n.a.")</x:f>
        <x:v>46000</x:v>
      </x:c>
      <x:c r="N12" s="51" t="n">
        <x:f>IF(AND('Property Rent and Plant'!N17="OK"),IF(AND(ISNUMBER('Property Rent and Plant'!$G$17),ISNUMBER('Assumptions'!$D$67)),'Property Rent and Plant'!$G$17*'Assumptions'!$D$67,"n.a."),"n.a.")</x:f>
        <x:v>46000</x:v>
      </x:c>
      <x:c r="O12" s="51" t="n">
        <x:f>IF(AND('Property Rent and Plant'!N18="OK"),IF(AND(ISNUMBER('Property Rent and Plant'!$G$18),ISNUMBER('Assumptions'!$D$67)),'Property Rent and Plant'!$G$18*'Assumptions'!$D$67,"n.a."),"n.a.")</x:f>
        <x:v>46000</x:v>
      </x:c>
      <x:c r="P12" s="51" t="n">
        <x:f>IF(AND('Property Rent and Plant'!N19="OK"),IF(AND(ISNUMBER('Property Rent and Plant'!$G$19),ISNUMBER('Assumptions'!$D$67)),'Property Rent and Plant'!$G$19*'Assumptions'!$D$67,"n.a."),"n.a.")</x:f>
        <x:v>35000</x:v>
      </x:c>
      <x:c r="Q12" s="51" t="n">
        <x:f>IF(AND('Property Rent and Plant'!N20="OK"),IF(AND(ISNUMBER('Property Rent and Plant'!$G$20),ISNUMBER('Assumptions'!$D$67)),'Property Rent and Plant'!$G$20*'Assumptions'!$D$67,"n.a."),"n.a.")</x:f>
        <x:v>35000</x:v>
      </x:c>
      <x:c r="R12" s="51" t="n">
        <x:f>IF(AND('Property Rent and Plant'!N21="OK"),IF(AND(ISNUMBER('Property Rent and Plant'!$G$21),ISNUMBER('Assumptions'!$D$67)),'Property Rent and Plant'!$G$21*'Assumptions'!$D$67,"n.a."),"n.a.")</x:f>
        <x:v>35000</x:v>
      </x:c>
    </x:row>
    <x:row r="13" ht="21" customHeight="1">
      <x:c r="A13" s="2"/>
      <x:c r="B13" s="2"/>
      <x:c r="C13" s="2" t="str">
        <x:v>Cash utility recoveries</x:v>
      </x:c>
      <x:c r="D13" s="2" t="str">
        <x:v>USD</x:v>
      </x:c>
      <x:c r="E13" s="52" t="n">
        <x:f>IF(COUNT(G13:R13)=12,SUM(G13:R13),"n.a.")</x:f>
        <x:v>437000</x:v>
      </x:c>
      <x:c r="F13" s="2"/>
      <x:c r="G13" s="51" t="n">
        <x:f>IF(AND('Property Rent and Plant'!N10="OK"),IF(AND(ISNUMBER(G12),ISNUMBER('Property Rent and Plant'!$H$10)),G12*'Property Rent and Plant'!$H$10,"n.a."),"n.a.")</x:f>
        <x:v>32200</x:v>
      </x:c>
      <x:c r="H13" s="51" t="n">
        <x:f>IF(AND('Property Rent and Plant'!N11="OK"),IF(AND(ISNUMBER(H12),ISNUMBER('Property Rent and Plant'!$H$11)),H12*'Property Rent and Plant'!$H$11,"n.a."),"n.a.")</x:f>
        <x:v>32200</x:v>
      </x:c>
      <x:c r="I13" s="51" t="n">
        <x:f>IF(AND('Property Rent and Plant'!N12="OK"),IF(AND(ISNUMBER(I12),ISNUMBER('Property Rent and Plant'!$H$12)),I12*'Property Rent and Plant'!$H$12,"n.a."),"n.a.")</x:f>
        <x:v>32200</x:v>
      </x:c>
      <x:c r="J13" s="51" t="n">
        <x:f>IF(AND('Property Rent and Plant'!N13="OK"),IF(AND(ISNUMBER(J12),ISNUMBER('Property Rent and Plant'!$H$13)),J12*'Property Rent and Plant'!$H$13,"n.a."),"n.a.")</x:f>
        <x:v>32200</x:v>
      </x:c>
      <x:c r="K13" s="51" t="n">
        <x:f>IF(AND('Property Rent and Plant'!N14="OK"),IF(AND(ISNUMBER(K12),ISNUMBER('Property Rent and Plant'!$H$14)),K12*'Property Rent and Plant'!$H$14,"n.a."),"n.a.")</x:f>
        <x:v>42320</x:v>
      </x:c>
      <x:c r="L13" s="51" t="n">
        <x:f>IF(AND('Property Rent and Plant'!N15="OK"),IF(AND(ISNUMBER(L12),ISNUMBER('Property Rent and Plant'!$H$15)),L12*'Property Rent and Plant'!$H$15,"n.a."),"n.a.")</x:f>
        <x:v>42320</x:v>
      </x:c>
      <x:c r="M13" s="51" t="n">
        <x:f>IF(AND('Property Rent and Plant'!N16="OK"),IF(AND(ISNUMBER(M12),ISNUMBER('Property Rent and Plant'!$H$16)),M12*'Property Rent and Plant'!$H$16,"n.a."),"n.a.")</x:f>
        <x:v>42320</x:v>
      </x:c>
      <x:c r="N13" s="51" t="n">
        <x:f>IF(AND('Property Rent and Plant'!N17="OK"),IF(AND(ISNUMBER(N12),ISNUMBER('Property Rent and Plant'!$H$17)),N12*'Property Rent and Plant'!$H$17,"n.a."),"n.a.")</x:f>
        <x:v>42320</x:v>
      </x:c>
      <x:c r="O13" s="51" t="n">
        <x:f>IF(AND('Property Rent and Plant'!N18="OK"),IF(AND(ISNUMBER(O12),ISNUMBER('Property Rent and Plant'!$H$18)),O12*'Property Rent and Plant'!$H$18,"n.a."),"n.a.")</x:f>
        <x:v>42320</x:v>
      </x:c>
      <x:c r="P13" s="51" t="n">
        <x:f>IF(AND('Property Rent and Plant'!N19="OK"),IF(AND(ISNUMBER(P12),ISNUMBER('Property Rent and Plant'!$H$19)),P12*'Property Rent and Plant'!$H$19,"n.a."),"n.a.")</x:f>
        <x:v>32200</x:v>
      </x:c>
      <x:c r="Q13" s="51" t="n">
        <x:f>IF(AND('Property Rent and Plant'!N20="OK"),IF(AND(ISNUMBER(Q12),ISNUMBER('Property Rent and Plant'!$H$20)),Q12*'Property Rent and Plant'!$H$20,"n.a."),"n.a.")</x:f>
        <x:v>32200</x:v>
      </x:c>
      <x:c r="R13" s="51" t="n">
        <x:f>IF(AND('Property Rent and Plant'!N21="OK"),IF(AND(ISNUMBER(R12),ISNUMBER('Property Rent and Plant'!$H$21)),R12*'Property Rent and Plant'!$H$21,"n.a."),"n.a.")</x:f>
        <x:v>32200</x:v>
      </x:c>
    </x:row>
    <x:row r="14" ht="21" customHeight="1">
      <x:c r="A14" s="2"/>
      <x:c r="B14" s="2"/>
      <x:c r="C14" s="56" t="str">
        <x:v>Property rent and utility recoveries</x:v>
      </x:c>
      <x:c r="D14" s="56" t="str">
        <x:v>USD</x:v>
      </x:c>
      <x:c r="E14" s="57" t="n">
        <x:f>IF(COUNT(G14:R14)=12,SUM(G14:R14),"n.a.")</x:f>
        <x:v>2318000</x:v>
      </x:c>
      <x:c r="F14" s="56"/>
      <x:c r="G14" s="57" t="n">
        <x:f>IF(AND(ISNUMBER(G11),ISNUMBER(G13)),G11+G13,"n.a.")</x:f>
        <x:v>188950</x:v>
      </x:c>
      <x:c r="H14" s="57" t="n">
        <x:f>IF(AND(ISNUMBER(H11),ISNUMBER(H13)),H11+H13,"n.a.")</x:f>
        <x:v>188950</x:v>
      </x:c>
      <x:c r="I14" s="57" t="n">
        <x:f>IF(AND(ISNUMBER(I11),ISNUMBER(I13)),I11+I13,"n.a.")</x:f>
        <x:v>188950</x:v>
      </x:c>
      <x:c r="J14" s="57" t="n">
        <x:f>IF(AND(ISNUMBER(J11),ISNUMBER(J13)),J11+J13,"n.a.")</x:f>
        <x:v>188950</x:v>
      </x:c>
      <x:c r="K14" s="57" t="n">
        <x:f>IF(AND(ISNUMBER(K11),ISNUMBER(K13)),K11+K13,"n.a.")</x:f>
        <x:v>199070</x:v>
      </x:c>
      <x:c r="L14" s="57" t="n">
        <x:f>IF(AND(ISNUMBER(L11),ISNUMBER(L13)),L11+L13,"n.a.")</x:f>
        <x:v>199070</x:v>
      </x:c>
      <x:c r="M14" s="57" t="n">
        <x:f>IF(AND(ISNUMBER(M11),ISNUMBER(M13)),M11+M13,"n.a.")</x:f>
        <x:v>199070</x:v>
      </x:c>
      <x:c r="N14" s="57" t="n">
        <x:f>IF(AND(ISNUMBER(N11),ISNUMBER(N13)),N11+N13,"n.a.")</x:f>
        <x:v>199070</x:v>
      </x:c>
      <x:c r="O14" s="57" t="n">
        <x:f>IF(AND(ISNUMBER(O11),ISNUMBER(O13)),O11+O13,"n.a.")</x:f>
        <x:v>199070</x:v>
      </x:c>
      <x:c r="P14" s="57" t="n">
        <x:f>IF(AND(ISNUMBER(P11),ISNUMBER(P13)),P11+P13,"n.a.")</x:f>
        <x:v>188950</x:v>
      </x:c>
      <x:c r="Q14" s="57" t="n">
        <x:f>IF(AND(ISNUMBER(Q11),ISNUMBER(Q13)),Q11+Q13,"n.a.")</x:f>
        <x:v>188950</x:v>
      </x:c>
      <x:c r="R14" s="57" t="n">
        <x:f>IF(AND(ISNUMBER(R11),ISNUMBER(R13)),R11+R13,"n.a.")</x:f>
        <x:v>188950</x:v>
      </x:c>
    </x:row>
    <x:row r="15" ht="21" customHeight="1">
      <x:c r="A15" s="2"/>
      <x:c r="B15" s="2"/>
      <x:c r="C15" s="2" t="str">
        <x:v>Utilities, plant maintenance and insurance</x:v>
      </x:c>
      <x:c r="D15" s="2" t="str">
        <x:v>USD</x:v>
      </x:c>
      <x:c r="E15" s="52" t="n">
        <x:f>IF(COUNT(G15:R15)=12,SUM(G15:R15),"n.a.")</x:f>
        <x:v>673000</x:v>
      </x:c>
      <x:c r="F15" s="2"/>
      <x:c r="G15" s="51" t="n">
        <x:f>IF(AND('Property Rent and Plant'!N10="OK"),IF(AND(ISNUMBER(G12),ISNUMBER('Property Rent and Plant'!$I$10),ISNUMBER('Property Rent and Plant'!$J$10),ISNUMBER('Assumptions'!$D$67)),G12+('Property Rent and Plant'!$I$10+'Property Rent and Plant'!$J$10)*'Assumptions'!$D$67,"n.a."),"n.a.")</x:f>
        <x:v>51500</x:v>
      </x:c>
      <x:c r="H15" s="51" t="n">
        <x:f>IF(AND('Property Rent and Plant'!N11="OK"),IF(AND(ISNUMBER(H12),ISNUMBER('Property Rent and Plant'!$I$11),ISNUMBER('Property Rent and Plant'!$J$11),ISNUMBER('Assumptions'!$D$67)),H12+('Property Rent and Plant'!$I$11+'Property Rent and Plant'!$J$11)*'Assumptions'!$D$67,"n.a."),"n.a.")</x:f>
        <x:v>51500</x:v>
      </x:c>
      <x:c r="I15" s="51" t="n">
        <x:f>IF(AND('Property Rent and Plant'!N12="OK"),IF(AND(ISNUMBER(I12),ISNUMBER('Property Rent and Plant'!$I$12),ISNUMBER('Property Rent and Plant'!$J$12),ISNUMBER('Assumptions'!$D$67)),I12+('Property Rent and Plant'!$I$12+'Property Rent and Plant'!$J$12)*'Assumptions'!$D$67,"n.a."),"n.a.")</x:f>
        <x:v>51500</x:v>
      </x:c>
      <x:c r="J15" s="51" t="n">
        <x:f>IF(AND('Property Rent and Plant'!N13="OK"),IF(AND(ISNUMBER(J12),ISNUMBER('Property Rent and Plant'!$I$13),ISNUMBER('Property Rent and Plant'!$J$13),ISNUMBER('Assumptions'!$D$67)),J12+('Property Rent and Plant'!$I$13+'Property Rent and Plant'!$J$13)*'Assumptions'!$D$67,"n.a."),"n.a.")</x:f>
        <x:v>51500</x:v>
      </x:c>
      <x:c r="K15" s="51" t="n">
        <x:f>IF(AND('Property Rent and Plant'!N14="OK"),IF(AND(ISNUMBER(K12),ISNUMBER('Property Rent and Plant'!$I$14),ISNUMBER('Property Rent and Plant'!$J$14),ISNUMBER('Assumptions'!$D$67)),K12+('Property Rent and Plant'!$I$14+'Property Rent and Plant'!$J$14)*'Assumptions'!$D$67,"n.a."),"n.a.")</x:f>
        <x:v>62500</x:v>
      </x:c>
      <x:c r="L15" s="51" t="n">
        <x:f>IF(AND('Property Rent and Plant'!N15="OK"),IF(AND(ISNUMBER(L12),ISNUMBER('Property Rent and Plant'!$I$15),ISNUMBER('Property Rent and Plant'!$J$15),ISNUMBER('Assumptions'!$D$67)),L12+('Property Rent and Plant'!$I$15+'Property Rent and Plant'!$J$15)*'Assumptions'!$D$67,"n.a."),"n.a.")</x:f>
        <x:v>62500</x:v>
      </x:c>
      <x:c r="M15" s="51" t="n">
        <x:f>IF(AND('Property Rent and Plant'!N16="OK"),IF(AND(ISNUMBER(M12),ISNUMBER('Property Rent and Plant'!$I$16),ISNUMBER('Property Rent and Plant'!$J$16),ISNUMBER('Assumptions'!$D$67)),M12+('Property Rent and Plant'!$I$16+'Property Rent and Plant'!$J$16)*'Assumptions'!$D$67,"n.a."),"n.a.")</x:f>
        <x:v>62500</x:v>
      </x:c>
      <x:c r="N15" s="51" t="n">
        <x:f>IF(AND('Property Rent and Plant'!N17="OK"),IF(AND(ISNUMBER(N12),ISNUMBER('Property Rent and Plant'!$I$17),ISNUMBER('Property Rent and Plant'!$J$17),ISNUMBER('Assumptions'!$D$67)),N12+('Property Rent and Plant'!$I$17+'Property Rent and Plant'!$J$17)*'Assumptions'!$D$67,"n.a."),"n.a.")</x:f>
        <x:v>62500</x:v>
      </x:c>
      <x:c r="O15" s="51" t="n">
        <x:f>IF(AND('Property Rent and Plant'!N18="OK"),IF(AND(ISNUMBER(O12),ISNUMBER('Property Rent and Plant'!$I$18),ISNUMBER('Property Rent and Plant'!$J$18),ISNUMBER('Assumptions'!$D$67)),O12+('Property Rent and Plant'!$I$18+'Property Rent and Plant'!$J$18)*'Assumptions'!$D$67,"n.a."),"n.a.")</x:f>
        <x:v>62500</x:v>
      </x:c>
      <x:c r="P15" s="51" t="n">
        <x:f>IF(AND('Property Rent and Plant'!N19="OK"),IF(AND(ISNUMBER(P12),ISNUMBER('Property Rent and Plant'!$I$19),ISNUMBER('Property Rent and Plant'!$J$19),ISNUMBER('Assumptions'!$D$67)),P12+('Property Rent and Plant'!$I$19+'Property Rent and Plant'!$J$19)*'Assumptions'!$D$67,"n.a."),"n.a.")</x:f>
        <x:v>51500</x:v>
      </x:c>
      <x:c r="Q15" s="51" t="n">
        <x:f>IF(AND('Property Rent and Plant'!N20="OK"),IF(AND(ISNUMBER(Q12),ISNUMBER('Property Rent and Plant'!$I$20),ISNUMBER('Property Rent and Plant'!$J$20),ISNUMBER('Assumptions'!$D$67)),Q12+('Property Rent and Plant'!$I$20+'Property Rent and Plant'!$J$20)*'Assumptions'!$D$67,"n.a."),"n.a.")</x:f>
        <x:v>51500</x:v>
      </x:c>
      <x:c r="R15" s="51" t="n">
        <x:f>IF(AND('Property Rent and Plant'!N21="OK"),IF(AND(ISNUMBER(R12),ISNUMBER('Property Rent and Plant'!$I$21),ISNUMBER('Property Rent and Plant'!$J$21),ISNUMBER('Assumptions'!$D$67)),R12+('Property Rent and Plant'!$I$21+'Property Rent and Plant'!$J$21)*'Assumptions'!$D$67,"n.a."),"n.a.")</x:f>
        <x:v>51500</x:v>
      </x:c>
    </x:row>
    <x:row r="16" ht="21" customHeight="1">
      <x:c r="A16" s="2"/>
      <x:c r="B16" s="2"/>
      <x:c r="C16" s="2" t="str">
        <x:v>Landlord gross capital cash</x:v>
      </x:c>
      <x:c r="D16" s="2" t="str">
        <x:v>USD</x:v>
      </x:c>
      <x:c r="E16" s="52" t="n">
        <x:f>IF(COUNT(G16:R16)=12,SUM(G16:R16),"n.a.")</x:f>
        <x:v>497000</x:v>
      </x:c>
      <x:c r="F16" s="2"/>
      <x:c r="G16" s="51" t="n">
        <x:f>IF(AND('Property Rent and Plant'!N10="OK"),IF(AND(ISNUMBER('Property Rent and Plant'!$K$10),ISNUMBER('Assumptions'!$D$70)),'Property Rent and Plant'!$K$10*'Assumptions'!$D$70,"n.a."),"n.a.")</x:f>
        <x:v>7000</x:v>
      </x:c>
      <x:c r="H16" s="51" t="n">
        <x:f>IF(AND('Property Rent and Plant'!N11="OK"),IF(AND(ISNUMBER('Property Rent and Plant'!$K$11),ISNUMBER('Assumptions'!$D$70)),'Property Rent and Plant'!$K$11*'Assumptions'!$D$70,"n.a."),"n.a.")</x:f>
        <x:v>7000</x:v>
      </x:c>
      <x:c r="I16" s="51" t="n">
        <x:f>IF(AND('Property Rent and Plant'!N12="OK"),IF(AND(ISNUMBER('Property Rent and Plant'!$K$12),ISNUMBER('Assumptions'!$D$70)),'Property Rent and Plant'!$K$12*'Assumptions'!$D$70,"n.a."),"n.a.")</x:f>
        <x:v>7000</x:v>
      </x:c>
      <x:c r="J16" s="51" t="n">
        <x:f>IF(AND('Property Rent and Plant'!N13="OK"),IF(AND(ISNUMBER('Property Rent and Plant'!$K$13),ISNUMBER('Assumptions'!$D$70)),'Property Rent and Plant'!$K$13*'Assumptions'!$D$70,"n.a."),"n.a.")</x:f>
        <x:v>7000</x:v>
      </x:c>
      <x:c r="K16" s="51" t="n">
        <x:f>IF(AND('Property Rent and Plant'!N14="OK"),IF(AND(ISNUMBER('Property Rent and Plant'!$K$14),ISNUMBER('Assumptions'!$D$70)),'Property Rent and Plant'!$K$14*'Assumptions'!$D$70,"n.a."),"n.a.")</x:f>
        <x:v>7000</x:v>
      </x:c>
      <x:c r="L16" s="51" t="n">
        <x:f>IF(AND('Property Rent and Plant'!N15="OK"),IF(AND(ISNUMBER('Property Rent and Plant'!$K$15),ISNUMBER('Assumptions'!$D$70)),'Property Rent and Plant'!$K$15*'Assumptions'!$D$70,"n.a."),"n.a.")</x:f>
        <x:v>7000</x:v>
      </x:c>
      <x:c r="M16" s="51" t="n">
        <x:f>IF(AND('Property Rent and Plant'!N16="OK"),IF(AND(ISNUMBER('Property Rent and Plant'!$K$16),ISNUMBER('Assumptions'!$D$70)),'Property Rent and Plant'!$K$16*'Assumptions'!$D$70,"n.a."),"n.a.")</x:f>
        <x:v>420000</x:v>
      </x:c>
      <x:c r="N16" s="51" t="n">
        <x:f>IF(AND('Property Rent and Plant'!N17="OK"),IF(AND(ISNUMBER('Property Rent and Plant'!$K$17),ISNUMBER('Assumptions'!$D$70)),'Property Rent and Plant'!$K$17*'Assumptions'!$D$70,"n.a."),"n.a.")</x:f>
        <x:v>7000</x:v>
      </x:c>
      <x:c r="O16" s="51" t="n">
        <x:f>IF(AND('Property Rent and Plant'!N18="OK"),IF(AND(ISNUMBER('Property Rent and Plant'!$K$18),ISNUMBER('Assumptions'!$D$70)),'Property Rent and Plant'!$K$18*'Assumptions'!$D$70,"n.a."),"n.a.")</x:f>
        <x:v>7000</x:v>
      </x:c>
      <x:c r="P16" s="51" t="n">
        <x:f>IF(AND('Property Rent and Plant'!N19="OK"),IF(AND(ISNUMBER('Property Rent and Plant'!$K$19),ISNUMBER('Assumptions'!$D$70)),'Property Rent and Plant'!$K$19*'Assumptions'!$D$70,"n.a."),"n.a.")</x:f>
        <x:v>7000</x:v>
      </x:c>
      <x:c r="Q16" s="51" t="n">
        <x:f>IF(AND('Property Rent and Plant'!N20="OK"),IF(AND(ISNUMBER('Property Rent and Plant'!$K$20),ISNUMBER('Assumptions'!$D$70)),'Property Rent and Plant'!$K$20*'Assumptions'!$D$70,"n.a."),"n.a.")</x:f>
        <x:v>7000</x:v>
      </x:c>
      <x:c r="R16" s="51" t="n">
        <x:f>IF(AND('Property Rent and Plant'!N21="OK"),IF(AND(ISNUMBER('Property Rent and Plant'!$K$21),ISNUMBER('Assumptions'!$D$70)),'Property Rent and Plant'!$K$21*'Assumptions'!$D$70,"n.a."),"n.a.")</x:f>
        <x:v>7000</x:v>
      </x:c>
    </x:row>
    <x:row r="17" ht="21" customHeight="1">
      <x:c r="A17" s="2"/>
      <x:c r="B17" s="2"/>
      <x:c r="C17" s="2" t="str">
        <x:v>Capital reimbursement cash received</x:v>
      </x:c>
      <x:c r="D17" s="2" t="str">
        <x:v>USD</x:v>
      </x:c>
      <x:c r="E17" s="52" t="n">
        <x:f>IF(COUNT(G17:R17)=12,SUM(G17:R17),"n.a.")</x:f>
        <x:v>140000</x:v>
      </x:c>
      <x:c r="F17" s="2"/>
      <x:c r="G17" s="51" t="n">
        <x:f>IF(AND('Property Rent and Plant'!N10="OK"),IF(AND(ISNUMBER('Property Rent and Plant'!$L$10)),'Property Rent and Plant'!$L$10,"n.a."),"n.a.")</x:f>
        <x:v>0</x:v>
      </x:c>
      <x:c r="H17" s="51" t="n">
        <x:f>IF(AND('Property Rent and Plant'!N11="OK"),IF(AND(ISNUMBER('Property Rent and Plant'!$L$11)),'Property Rent and Plant'!$L$11,"n.a."),"n.a.")</x:f>
        <x:v>0</x:v>
      </x:c>
      <x:c r="I17" s="51" t="n">
        <x:f>IF(AND('Property Rent and Plant'!N12="OK"),IF(AND(ISNUMBER('Property Rent and Plant'!$L$12)),'Property Rent and Plant'!$L$12,"n.a."),"n.a.")</x:f>
        <x:v>0</x:v>
      </x:c>
      <x:c r="J17" s="51" t="n">
        <x:f>IF(AND('Property Rent and Plant'!N13="OK"),IF(AND(ISNUMBER('Property Rent and Plant'!$L$13)),'Property Rent and Plant'!$L$13,"n.a."),"n.a.")</x:f>
        <x:v>0</x:v>
      </x:c>
      <x:c r="K17" s="51" t="n">
        <x:f>IF(AND('Property Rent and Plant'!N14="OK"),IF(AND(ISNUMBER('Property Rent and Plant'!$L$14)),'Property Rent and Plant'!$L$14,"n.a."),"n.a.")</x:f>
        <x:v>0</x:v>
      </x:c>
      <x:c r="L17" s="51" t="n">
        <x:f>IF(AND('Property Rent and Plant'!N15="OK"),IF(AND(ISNUMBER('Property Rent and Plant'!$L$15)),'Property Rent and Plant'!$L$15,"n.a."),"n.a.")</x:f>
        <x:v>0</x:v>
      </x:c>
      <x:c r="M17" s="51" t="n">
        <x:f>IF(AND('Property Rent and Plant'!N16="OK"),IF(AND(ISNUMBER('Property Rent and Plant'!$L$16)),'Property Rent and Plant'!$L$16,"n.a."),"n.a.")</x:f>
        <x:v>0</x:v>
      </x:c>
      <x:c r="N17" s="51" t="n">
        <x:f>IF(AND('Property Rent and Plant'!N17="OK"),IF(AND(ISNUMBER('Property Rent and Plant'!$L$17)),'Property Rent and Plant'!$L$17,"n.a."),"n.a.")</x:f>
        <x:v>140000</x:v>
      </x:c>
      <x:c r="O17" s="51" t="n">
        <x:f>IF(AND('Property Rent and Plant'!N18="OK"),IF(AND(ISNUMBER('Property Rent and Plant'!$L$18)),'Property Rent and Plant'!$L$18,"n.a."),"n.a.")</x:f>
        <x:v>0</x:v>
      </x:c>
      <x:c r="P17" s="51" t="n">
        <x:f>IF(AND('Property Rent and Plant'!N19="OK"),IF(AND(ISNUMBER('Property Rent and Plant'!$L$19)),'Property Rent and Plant'!$L$19,"n.a."),"n.a.")</x:f>
        <x:v>0</x:v>
      </x:c>
      <x:c r="Q17" s="51" t="n">
        <x:f>IF(AND('Property Rent and Plant'!N20="OK"),IF(AND(ISNUMBER('Property Rent and Plant'!$L$20)),'Property Rent and Plant'!$L$20,"n.a."),"n.a.")</x:f>
        <x:v>0</x:v>
      </x:c>
      <x:c r="R17" s="51" t="n">
        <x:f>IF(AND('Property Rent and Plant'!N21="OK"),IF(AND(ISNUMBER('Property Rent and Plant'!$L$21)),'Property Rent and Plant'!$L$21,"n.a."),"n.a.")</x:f>
        <x:v>0</x:v>
      </x:c>
    </x:row>
    <x:row r="18" ht="21" customHeight="1">
      <x:c r="A18" s="2"/>
      <x:c r="B18" s="2"/>
      <x:c r="C18" s="2" t="str">
        <x:v>Net capital cash use / (recovery)</x:v>
      </x:c>
      <x:c r="D18" s="2" t="str">
        <x:v>USD</x:v>
      </x:c>
      <x:c r="E18" s="52" t="n">
        <x:f>IF(COUNT(G18:R18)=12,SUM(G18:R18),"n.a.")</x:f>
        <x:v>357000</x:v>
      </x:c>
      <x:c r="F18" s="2"/>
      <x:c r="G18" s="52" t="n">
        <x:f>IF(AND(ISNUMBER(G16),ISNUMBER(G17)),G16-G17,"n.a.")</x:f>
        <x:v>7000</x:v>
      </x:c>
      <x:c r="H18" s="52" t="n">
        <x:f>IF(AND(ISNUMBER(H16),ISNUMBER(H17)),H16-H17,"n.a.")</x:f>
        <x:v>7000</x:v>
      </x:c>
      <x:c r="I18" s="52" t="n">
        <x:f>IF(AND(ISNUMBER(I16),ISNUMBER(I17)),I16-I17,"n.a.")</x:f>
        <x:v>7000</x:v>
      </x:c>
      <x:c r="J18" s="52" t="n">
        <x:f>IF(AND(ISNUMBER(J16),ISNUMBER(J17)),J16-J17,"n.a.")</x:f>
        <x:v>7000</x:v>
      </x:c>
      <x:c r="K18" s="52" t="n">
        <x:f>IF(AND(ISNUMBER(K16),ISNUMBER(K17)),K16-K17,"n.a.")</x:f>
        <x:v>7000</x:v>
      </x:c>
      <x:c r="L18" s="52" t="n">
        <x:f>IF(AND(ISNUMBER(L16),ISNUMBER(L17)),L16-L17,"n.a.")</x:f>
        <x:v>7000</x:v>
      </x:c>
      <x:c r="M18" s="52" t="n">
        <x:f>IF(AND(ISNUMBER(M16),ISNUMBER(M17)),M16-M17,"n.a.")</x:f>
        <x:v>420000</x:v>
      </x:c>
      <x:c r="N18" s="52" t="n">
        <x:f>IF(AND(ISNUMBER(N16),ISNUMBER(N17)),N16-N17,"n.a.")</x:f>
        <x:v>-133000</x:v>
      </x:c>
      <x:c r="O18" s="52" t="n">
        <x:f>IF(AND(ISNUMBER(O16),ISNUMBER(O17)),O16-O17,"n.a.")</x:f>
        <x:v>7000</x:v>
      </x:c>
      <x:c r="P18" s="52" t="n">
        <x:f>IF(AND(ISNUMBER(P16),ISNUMBER(P17)),P16-P17,"n.a.")</x:f>
        <x:v>7000</x:v>
      </x:c>
      <x:c r="Q18" s="52" t="n">
        <x:f>IF(AND(ISNUMBER(Q16),ISNUMBER(Q17)),Q16-Q17,"n.a.")</x:f>
        <x:v>7000</x:v>
      </x:c>
      <x:c r="R18" s="52" t="n">
        <x:f>IF(AND(ISNUMBER(R16),ISNUMBER(R17)),R16-R17,"n.a.")</x:f>
        <x:v>7000</x:v>
      </x:c>
    </x:row>
    <x:row r="19" ht="21" customHeight="1">
      <x:c r="A19" s="2"/>
      <x:c r="B19" s="2"/>
      <x:c r="C19" s="2" t="str">
        <x:v>Fixed property / entity costs</x:v>
      </x:c>
      <x:c r="D19" s="2" t="str">
        <x:v>USD</x:v>
      </x:c>
      <x:c r="E19" s="52" t="n">
        <x:f>IF(COUNT(G19:R19)=12,SUM(G19:R19),"n.a.")</x:f>
        <x:v>320000</x:v>
      </x:c>
      <x:c r="F19" s="2"/>
      <x:c r="G19" s="51" t="n">
        <x:f>IF(AND(ISNUMBER('Assumptions'!$D$55)),'Assumptions'!$D$55/12,"n.a.")</x:f>
        <x:v>26666.666666666668</x:v>
      </x:c>
      <x:c r="H19" s="51" t="n">
        <x:f>IF(AND(ISNUMBER('Assumptions'!$D$55)),'Assumptions'!$D$55/12,"n.a.")</x:f>
        <x:v>26666.666666666668</x:v>
      </x:c>
      <x:c r="I19" s="51" t="n">
        <x:f>IF(AND(ISNUMBER('Assumptions'!$D$55)),'Assumptions'!$D$55/12,"n.a.")</x:f>
        <x:v>26666.666666666668</x:v>
      </x:c>
      <x:c r="J19" s="51" t="n">
        <x:f>IF(AND(ISNUMBER('Assumptions'!$D$55)),'Assumptions'!$D$55/12,"n.a.")</x:f>
        <x:v>26666.666666666668</x:v>
      </x:c>
      <x:c r="K19" s="51" t="n">
        <x:f>IF(AND(ISNUMBER('Assumptions'!$D$55)),'Assumptions'!$D$55/12,"n.a.")</x:f>
        <x:v>26666.666666666668</x:v>
      </x:c>
      <x:c r="L19" s="51" t="n">
        <x:f>IF(AND(ISNUMBER('Assumptions'!$D$55)),'Assumptions'!$D$55/12,"n.a.")</x:f>
        <x:v>26666.666666666668</x:v>
      </x:c>
      <x:c r="M19" s="51" t="n">
        <x:f>IF(AND(ISNUMBER('Assumptions'!$D$55)),'Assumptions'!$D$55/12,"n.a.")</x:f>
        <x:v>26666.666666666668</x:v>
      </x:c>
      <x:c r="N19" s="51" t="n">
        <x:f>IF(AND(ISNUMBER('Assumptions'!$D$55)),'Assumptions'!$D$55/12,"n.a.")</x:f>
        <x:v>26666.666666666668</x:v>
      </x:c>
      <x:c r="O19" s="51" t="n">
        <x:f>IF(AND(ISNUMBER('Assumptions'!$D$55)),'Assumptions'!$D$55/12,"n.a.")</x:f>
        <x:v>26666.666666666668</x:v>
      </x:c>
      <x:c r="P19" s="51" t="n">
        <x:f>IF(AND(ISNUMBER('Assumptions'!$D$55)),'Assumptions'!$D$55/12,"n.a.")</x:f>
        <x:v>26666.666666666668</x:v>
      </x:c>
      <x:c r="Q19" s="51" t="n">
        <x:f>IF(AND(ISNUMBER('Assumptions'!$D$55)),'Assumptions'!$D$55/12,"n.a.")</x:f>
        <x:v>26666.666666666668</x:v>
      </x:c>
      <x:c r="R19" s="51" t="n">
        <x:f>IF(AND(ISNUMBER('Assumptions'!$D$55)),'Assumptions'!$D$55/12,"n.a.")</x:f>
        <x:v>26666.666666666668</x:v>
      </x:c>
    </x:row>
    <x:row r="20" ht="21" customHeight="1">
      <x:c r="A20" s="2"/>
      <x:c r="B20" s="2"/>
      <x:c r="C20" s="56" t="str">
        <x:v>Total cash operating costs</x:v>
      </x:c>
      <x:c r="D20" s="56" t="str">
        <x:v>USD</x:v>
      </x:c>
      <x:c r="E20" s="57" t="n">
        <x:f>IF(COUNT(G20:R20)=12,SUM(G20:R20),"n.a.")</x:f>
        <x:v>992999.9999999999</x:v>
      </x:c>
      <x:c r="F20" s="56"/>
      <x:c r="G20" s="57" t="n">
        <x:f>IF(AND(ISNUMBER(G15),ISNUMBER(G19)),G15+G19,"n.a.")</x:f>
        <x:v>78166.66666666667</x:v>
      </x:c>
      <x:c r="H20" s="57" t="n">
        <x:f>IF(AND(ISNUMBER(H15),ISNUMBER(H19)),H15+H19,"n.a.")</x:f>
        <x:v>78166.66666666667</x:v>
      </x:c>
      <x:c r="I20" s="57" t="n">
        <x:f>IF(AND(ISNUMBER(I15),ISNUMBER(I19)),I15+I19,"n.a.")</x:f>
        <x:v>78166.66666666667</x:v>
      </x:c>
      <x:c r="J20" s="57" t="n">
        <x:f>IF(AND(ISNUMBER(J15),ISNUMBER(J19)),J15+J19,"n.a.")</x:f>
        <x:v>78166.66666666667</x:v>
      </x:c>
      <x:c r="K20" s="57" t="n">
        <x:f>IF(AND(ISNUMBER(K15),ISNUMBER(K19)),K15+K19,"n.a.")</x:f>
        <x:v>89166.66666666667</x:v>
      </x:c>
      <x:c r="L20" s="57" t="n">
        <x:f>IF(AND(ISNUMBER(L15),ISNUMBER(L19)),L15+L19,"n.a.")</x:f>
        <x:v>89166.66666666667</x:v>
      </x:c>
      <x:c r="M20" s="57" t="n">
        <x:f>IF(AND(ISNUMBER(M15),ISNUMBER(M19)),M15+M19,"n.a.")</x:f>
        <x:v>89166.66666666667</x:v>
      </x:c>
      <x:c r="N20" s="57" t="n">
        <x:f>IF(AND(ISNUMBER(N15),ISNUMBER(N19)),N15+N19,"n.a.")</x:f>
        <x:v>89166.66666666667</x:v>
      </x:c>
      <x:c r="O20" s="57" t="n">
        <x:f>IF(AND(ISNUMBER(O15),ISNUMBER(O19)),O15+O19,"n.a.")</x:f>
        <x:v>89166.66666666667</x:v>
      </x:c>
      <x:c r="P20" s="57" t="n">
        <x:f>IF(AND(ISNUMBER(P15),ISNUMBER(P19)),P15+P19,"n.a.")</x:f>
        <x:v>78166.66666666667</x:v>
      </x:c>
      <x:c r="Q20" s="57" t="n">
        <x:f>IF(AND(ISNUMBER(Q15),ISNUMBER(Q19)),Q15+Q19,"n.a.")</x:f>
        <x:v>78166.66666666667</x:v>
      </x:c>
      <x:c r="R20" s="57" t="n">
        <x:f>IF(AND(ISNUMBER(R15),ISNUMBER(R19)),R15+R19,"n.a.")</x:f>
        <x:v>78166.66666666667</x:v>
      </x:c>
    </x:row>
    <x:row r="21" ht="21" customHeight="1">
      <x:c r="A21" s="2"/>
      <x:c r="B21" s="2"/>
      <x:c r="C21" s="56" t="str">
        <x:v>NOI / operating cash before reserves</x:v>
      </x:c>
      <x:c r="D21" s="56" t="str">
        <x:v>USD</x:v>
      </x:c>
      <x:c r="E21" s="57" t="n">
        <x:f>IF(COUNT(G21:R21)=12,SUM(G21:R21),"n.a.")</x:f>
        <x:v>1325000</x:v>
      </x:c>
      <x:c r="F21" s="56"/>
      <x:c r="G21" s="57" t="n">
        <x:f>IF(AND(ISNUMBER(G14),ISNUMBER(G20)),G14-G20,"n.a.")</x:f>
        <x:v>110783.33333333333</x:v>
      </x:c>
      <x:c r="H21" s="57" t="n">
        <x:f>IF(AND(ISNUMBER(H14),ISNUMBER(H20)),H14-H20,"n.a.")</x:f>
        <x:v>110783.33333333333</x:v>
      </x:c>
      <x:c r="I21" s="57" t="n">
        <x:f>IF(AND(ISNUMBER(I14),ISNUMBER(I20)),I14-I20,"n.a.")</x:f>
        <x:v>110783.33333333333</x:v>
      </x:c>
      <x:c r="J21" s="57" t="n">
        <x:f>IF(AND(ISNUMBER(J14),ISNUMBER(J20)),J14-J20,"n.a.")</x:f>
        <x:v>110783.33333333333</x:v>
      </x:c>
      <x:c r="K21" s="57" t="n">
        <x:f>IF(AND(ISNUMBER(K14),ISNUMBER(K20)),K14-K20,"n.a.")</x:f>
        <x:v>109903.33333333333</x:v>
      </x:c>
      <x:c r="L21" s="57" t="n">
        <x:f>IF(AND(ISNUMBER(L14),ISNUMBER(L20)),L14-L20,"n.a.")</x:f>
        <x:v>109903.33333333333</x:v>
      </x:c>
      <x:c r="M21" s="57" t="n">
        <x:f>IF(AND(ISNUMBER(M14),ISNUMBER(M20)),M14-M20,"n.a.")</x:f>
        <x:v>109903.33333333333</x:v>
      </x:c>
      <x:c r="N21" s="57" t="n">
        <x:f>IF(AND(ISNUMBER(N14),ISNUMBER(N20)),N14-N20,"n.a.")</x:f>
        <x:v>109903.33333333333</x:v>
      </x:c>
      <x:c r="O21" s="57" t="n">
        <x:f>IF(AND(ISNUMBER(O14),ISNUMBER(O20)),O14-O20,"n.a.")</x:f>
        <x:v>109903.33333333333</x:v>
      </x:c>
      <x:c r="P21" s="57" t="n">
        <x:f>IF(AND(ISNUMBER(P14),ISNUMBER(P20)),P14-P20,"n.a.")</x:f>
        <x:v>110783.33333333333</x:v>
      </x:c>
      <x:c r="Q21" s="57" t="n">
        <x:f>IF(AND(ISNUMBER(Q14),ISNUMBER(Q20)),Q14-Q20,"n.a.")</x:f>
        <x:v>110783.33333333333</x:v>
      </x:c>
      <x:c r="R21" s="57" t="n">
        <x:f>IF(AND(ISNUMBER(R14),ISNUMBER(R20)),R14-R20,"n.a.")</x:f>
        <x:v>110783.33333333333</x:v>
      </x:c>
    </x:row>
    <x:row r="22" ht="21" customHeight="1">
      <x:c r="A22" s="2"/>
      <x:c r="B22" s="2"/>
      <x:c r="C22" s="2" t="str">
        <x:v>Cash replacement reserve deposits</x:v>
      </x:c>
      <x:c r="D22" s="2" t="str">
        <x:v>USD</x:v>
      </x:c>
      <x:c r="E22" s="52" t="n">
        <x:f>IF(COUNT(G22:R22)=12,SUM(G22:R22),"n.a.")</x:f>
        <x:v>69540</x:v>
      </x:c>
      <x:c r="F22" s="2"/>
      <x:c r="G22" s="51" t="n">
        <x:f>IF(AND(ISNUMBER(G14),ISNUMBER('Assumptions'!$D$58)),MAX(0,G14)*'Assumptions'!$D$58,"n.a.")</x:f>
        <x:v>5668.5</x:v>
      </x:c>
      <x:c r="H22" s="51" t="n">
        <x:f>IF(AND(ISNUMBER(H14),ISNUMBER('Assumptions'!$D$58)),MAX(0,H14)*'Assumptions'!$D$58,"n.a.")</x:f>
        <x:v>5668.5</x:v>
      </x:c>
      <x:c r="I22" s="51" t="n">
        <x:f>IF(AND(ISNUMBER(I14),ISNUMBER('Assumptions'!$D$58)),MAX(0,I14)*'Assumptions'!$D$58,"n.a.")</x:f>
        <x:v>5668.5</x:v>
      </x:c>
      <x:c r="J22" s="51" t="n">
        <x:f>IF(AND(ISNUMBER(J14),ISNUMBER('Assumptions'!$D$58)),MAX(0,J14)*'Assumptions'!$D$58,"n.a.")</x:f>
        <x:v>5668.5</x:v>
      </x:c>
      <x:c r="K22" s="51" t="n">
        <x:f>IF(AND(ISNUMBER(K14),ISNUMBER('Assumptions'!$D$58)),MAX(0,K14)*'Assumptions'!$D$58,"n.a.")</x:f>
        <x:v>5972.099999999999</x:v>
      </x:c>
      <x:c r="L22" s="51" t="n">
        <x:f>IF(AND(ISNUMBER(L14),ISNUMBER('Assumptions'!$D$58)),MAX(0,L14)*'Assumptions'!$D$58,"n.a.")</x:f>
        <x:v>5972.099999999999</x:v>
      </x:c>
      <x:c r="M22" s="51" t="n">
        <x:f>IF(AND(ISNUMBER(M14),ISNUMBER('Assumptions'!$D$58)),MAX(0,M14)*'Assumptions'!$D$58,"n.a.")</x:f>
        <x:v>5972.099999999999</x:v>
      </x:c>
      <x:c r="N22" s="51" t="n">
        <x:f>IF(AND(ISNUMBER(N14),ISNUMBER('Assumptions'!$D$58)),MAX(0,N14)*'Assumptions'!$D$58,"n.a.")</x:f>
        <x:v>5972.099999999999</x:v>
      </x:c>
      <x:c r="O22" s="51" t="n">
        <x:f>IF(AND(ISNUMBER(O14),ISNUMBER('Assumptions'!$D$58)),MAX(0,O14)*'Assumptions'!$D$58,"n.a.")</x:f>
        <x:v>5972.099999999999</x:v>
      </x:c>
      <x:c r="P22" s="51" t="n">
        <x:f>IF(AND(ISNUMBER(P14),ISNUMBER('Assumptions'!$D$58)),MAX(0,P14)*'Assumptions'!$D$58,"n.a.")</x:f>
        <x:v>5668.5</x:v>
      </x:c>
      <x:c r="Q22" s="51" t="n">
        <x:f>IF(AND(ISNUMBER(Q14),ISNUMBER('Assumptions'!$D$58)),MAX(0,Q14)*'Assumptions'!$D$58,"n.a.")</x:f>
        <x:v>5668.5</x:v>
      </x:c>
      <x:c r="R22" s="51" t="n">
        <x:f>IF(AND(ISNUMBER(R14),ISNUMBER('Assumptions'!$D$58)),MAX(0,R14)*'Assumptions'!$D$58,"n.a.")</x:f>
        <x:v>5668.5</x:v>
      </x:c>
    </x:row>
    <x:row r="23" ht="21" customHeight="1">
      <x:c r="A23" s="2"/>
      <x:c r="B23" s="2"/>
      <x:c r="C23" s="56" t="str">
        <x:v>Cash NCF before property debt / capital</x:v>
      </x:c>
      <x:c r="D23" s="56" t="str">
        <x:v>USD</x:v>
      </x:c>
      <x:c r="E23" s="57" t="n">
        <x:f>IF(COUNT(G23:R23)=12,SUM(G23:R23),"n.a.")</x:f>
        <x:v>1255459.9999999998</x:v>
      </x:c>
      <x:c r="F23" s="56"/>
      <x:c r="G23" s="57" t="n">
        <x:f>IF(AND(ISNUMBER(G21),ISNUMBER(G22)),G21-G22,"n.a.")</x:f>
        <x:v>105114.83333333333</x:v>
      </x:c>
      <x:c r="H23" s="57" t="n">
        <x:f>IF(AND(ISNUMBER(H21),ISNUMBER(H22)),H21-H22,"n.a.")</x:f>
        <x:v>105114.83333333333</x:v>
      </x:c>
      <x:c r="I23" s="57" t="n">
        <x:f>IF(AND(ISNUMBER(I21),ISNUMBER(I22)),I21-I22,"n.a.")</x:f>
        <x:v>105114.83333333333</x:v>
      </x:c>
      <x:c r="J23" s="57" t="n">
        <x:f>IF(AND(ISNUMBER(J21),ISNUMBER(J22)),J21-J22,"n.a.")</x:f>
        <x:v>105114.83333333333</x:v>
      </x:c>
      <x:c r="K23" s="57" t="n">
        <x:f>IF(AND(ISNUMBER(K21),ISNUMBER(K22)),K21-K22,"n.a.")</x:f>
        <x:v>103931.23333333332</x:v>
      </x:c>
      <x:c r="L23" s="57" t="n">
        <x:f>IF(AND(ISNUMBER(L21),ISNUMBER(L22)),L21-L22,"n.a.")</x:f>
        <x:v>103931.23333333332</x:v>
      </x:c>
      <x:c r="M23" s="57" t="n">
        <x:f>IF(AND(ISNUMBER(M21),ISNUMBER(M22)),M21-M22,"n.a.")</x:f>
        <x:v>103931.23333333332</x:v>
      </x:c>
      <x:c r="N23" s="57" t="n">
        <x:f>IF(AND(ISNUMBER(N21),ISNUMBER(N22)),N21-N22,"n.a.")</x:f>
        <x:v>103931.23333333332</x:v>
      </x:c>
      <x:c r="O23" s="57" t="n">
        <x:f>IF(AND(ISNUMBER(O21),ISNUMBER(O22)),O21-O22,"n.a.")</x:f>
        <x:v>103931.23333333332</x:v>
      </x:c>
      <x:c r="P23" s="57" t="n">
        <x:f>IF(AND(ISNUMBER(P21),ISNUMBER(P22)),P21-P22,"n.a.")</x:f>
        <x:v>105114.83333333333</x:v>
      </x:c>
      <x:c r="Q23" s="57" t="n">
        <x:f>IF(AND(ISNUMBER(Q21),ISNUMBER(Q22)),Q21-Q22,"n.a.")</x:f>
        <x:v>105114.83333333333</x:v>
      </x:c>
      <x:c r="R23" s="57" t="n">
        <x:f>IF(AND(ISNUMBER(R21),ISNUMBER(R22)),R21-R22,"n.a.")</x:f>
        <x:v>105114.83333333333</x:v>
      </x:c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IF(AND(ISNUMBER('Operations'!E23),ISNUMBER('Assumptions'!$D$52)),'Operations'!E23+'Assumptions'!$D$52,"n.a.")</x:f>
        <x:v>1255459.9999999998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9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12395800.5964099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11700000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13949555.555555554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11000000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74272.78774824057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17150000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6150000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1850000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10081437.355774214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0" t="n">
        <x:f>IF(AND(ISNUMBER(D14)),D14,"n.a.")</x:f>
        <x:v>11000000</x:v>
      </x:c>
      <x:c r="H29" s="60" t="n">
        <x:f>IF(AND(ISNUMBER(G33)),G33,"n.a.")</x:f>
        <x:v>11000000</x:v>
      </x:c>
      <x:c r="I29" s="60" t="n">
        <x:f>IF(AND(ISNUMBER(H33)),H33,"n.a.")</x:f>
        <x:v>11000000</x:v>
      </x:c>
      <x:c r="J29" s="60" t="n">
        <x:f>IF(AND(ISNUMBER(I33)),I33,"n.a.")</x:f>
        <x:v>11000000</x:v>
      </x:c>
      <x:c r="K29" s="60" t="n">
        <x:f>IF(AND(ISNUMBER(J33)),J33,"n.a.")</x:f>
        <x:v>11000000</x:v>
      </x:c>
      <x:c r="L29" s="60" t="n">
        <x:f>IF(AND(ISNUMBER(K33)),K33,"n.a.")</x:f>
        <x:v>11000000</x:v>
      </x:c>
      <x:c r="M29" s="60" t="n">
        <x:f>IF(AND(ISNUMBER(L33)),L33,"n.a.")</x:f>
        <x:v>11000000</x:v>
      </x:c>
      <x:c r="N29" s="60" t="n">
        <x:f>IF(AND(ISNUMBER(M33)),M33,"n.a.")</x:f>
        <x:v>10985310.545585092</x:v>
      </x:c>
      <x:c r="O29" s="60" t="n">
        <x:f>IF(AND(ISNUMBER(N33)),N33,"n.a.")</x:f>
        <x:v>10970541.523292104</x:v>
      </x:c>
      <x:c r="P29" s="60" t="n">
        <x:f>IF(AND(ISNUMBER(O33)),O33,"n.a.")</x:f>
        <x:v>10955692.502128363</x:v>
      </x:c>
      <x:c r="Q29" s="60" t="n">
        <x:f>IF(AND(ISNUMBER(P33)),P33,"n.a.")</x:f>
        <x:v>10940763.04876665</x:v>
      </x:c>
      <x:c r="R29" s="60" t="n">
        <x:f>IF(AND(ISNUMBER(Q33)),Q33,"n.a.")</x:f>
        <x:v>10925752.727532562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1" t="n">
        <x:f>IF(AND(ISNUMBER(G29),ISNUMBER('Assumptions'!$D$31)),G29*'Assumptions'!$D$31/12,"n.a.")</x:f>
        <x:v>59583.333333333336</x:v>
      </x:c>
      <x:c r="H30" s="61" t="n">
        <x:f>IF(AND(ISNUMBER(H29),ISNUMBER('Assumptions'!$D$31)),H29*'Assumptions'!$D$31/12,"n.a.")</x:f>
        <x:v>59583.333333333336</x:v>
      </x:c>
      <x:c r="I30" s="61" t="n">
        <x:f>IF(AND(ISNUMBER(I29),ISNUMBER('Assumptions'!$D$31)),I29*'Assumptions'!$D$31/12,"n.a.")</x:f>
        <x:v>59583.333333333336</x:v>
      </x:c>
      <x:c r="J30" s="61" t="n">
        <x:f>IF(AND(ISNUMBER(J29),ISNUMBER('Assumptions'!$D$31)),J29*'Assumptions'!$D$31/12,"n.a.")</x:f>
        <x:v>59583.333333333336</x:v>
      </x:c>
      <x:c r="K30" s="61" t="n">
        <x:f>IF(AND(ISNUMBER(K29),ISNUMBER('Assumptions'!$D$31)),K29*'Assumptions'!$D$31/12,"n.a.")</x:f>
        <x:v>59583.333333333336</x:v>
      </x:c>
      <x:c r="L30" s="61" t="n">
        <x:f>IF(AND(ISNUMBER(L29),ISNUMBER('Assumptions'!$D$31)),L29*'Assumptions'!$D$31/12,"n.a.")</x:f>
        <x:v>59583.333333333336</x:v>
      </x:c>
      <x:c r="M30" s="61" t="n">
        <x:f>IF(AND(ISNUMBER(M29),ISNUMBER('Assumptions'!$D$31)),M29*'Assumptions'!$D$31/12,"n.a.")</x:f>
        <x:v>59583.333333333336</x:v>
      </x:c>
      <x:c r="N30" s="61" t="n">
        <x:f>IF(AND(ISNUMBER(N29),ISNUMBER('Assumptions'!$D$31)),N29*'Assumptions'!$D$31/12,"n.a.")</x:f>
        <x:v>59503.765455252586</x:v>
      </x:c>
      <x:c r="O30" s="61" t="n">
        <x:f>IF(AND(ISNUMBER(O29),ISNUMBER('Assumptions'!$D$31)),O29*'Assumptions'!$D$31/12,"n.a.")</x:f>
        <x:v>59423.766584498895</x:v>
      </x:c>
      <x:c r="P30" s="61" t="n">
        <x:f>IF(AND(ISNUMBER(P29),ISNUMBER('Assumptions'!$D$31)),P29*'Assumptions'!$D$31/12,"n.a.")</x:f>
        <x:v>59343.33438652864</x:v>
      </x:c>
      <x:c r="Q30" s="61" t="n">
        <x:f>IF(AND(ISNUMBER(Q29),ISNUMBER('Assumptions'!$D$31)),Q29*'Assumptions'!$D$31/12,"n.a.")</x:f>
        <x:v>59262.466514152686</x:v>
      </x:c>
      <x:c r="R30" s="61" t="n">
        <x:f>IF(AND(ISNUMBER(R29),ISNUMBER('Assumptions'!$D$31)),R29*'Assumptions'!$D$31/12,"n.a.")</x:f>
        <x:v>59181.160607468046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1" t="n">
        <x:f>IF(AND(ISNUMBER('Assumptions'!$D$37),ISNUMBER(G30),ISNUMBER(G29),ISNUMBER(D16)),IF(1&lt;='Assumptions'!$D$37,G30,MIN(G29+G30,D16)),"n.a.")</x:f>
        <x:v>59583.333333333336</x:v>
      </x:c>
      <x:c r="H31" s="61" t="n">
        <x:f>IF(AND(ISNUMBER('Assumptions'!$D$37),ISNUMBER(H30),ISNUMBER(H29),ISNUMBER(D16)),IF(2&lt;='Assumptions'!$D$37,H30,MIN(H29+H30,D16)),"n.a.")</x:f>
        <x:v>59583.333333333336</x:v>
      </x:c>
      <x:c r="I31" s="61" t="n">
        <x:f>IF(AND(ISNUMBER('Assumptions'!$D$37),ISNUMBER(I30),ISNUMBER(I29),ISNUMBER(D16)),IF(3&lt;='Assumptions'!$D$37,I30,MIN(I29+I30,D16)),"n.a.")</x:f>
        <x:v>59583.333333333336</x:v>
      </x:c>
      <x:c r="J31" s="61" t="n">
        <x:f>IF(AND(ISNUMBER('Assumptions'!$D$37),ISNUMBER(J30),ISNUMBER(J29),ISNUMBER(D16)),IF(4&lt;='Assumptions'!$D$37,J30,MIN(J29+J30,D16)),"n.a.")</x:f>
        <x:v>59583.333333333336</x:v>
      </x:c>
      <x:c r="K31" s="61" t="n">
        <x:f>IF(AND(ISNUMBER('Assumptions'!$D$37),ISNUMBER(K30),ISNUMBER(K29),ISNUMBER(D16)),IF(5&lt;='Assumptions'!$D$37,K30,MIN(K29+K30,D16)),"n.a.")</x:f>
        <x:v>59583.333333333336</x:v>
      </x:c>
      <x:c r="L31" s="61" t="n">
        <x:f>IF(AND(ISNUMBER('Assumptions'!$D$37),ISNUMBER(L30),ISNUMBER(L29),ISNUMBER(D16)),IF(6&lt;='Assumptions'!$D$37,L30,MIN(L29+L30,D16)),"n.a.")</x:f>
        <x:v>59583.333333333336</x:v>
      </x:c>
      <x:c r="M31" s="61" t="n">
        <x:f>IF(AND(ISNUMBER('Assumptions'!$D$37),ISNUMBER(M30),ISNUMBER(M29),ISNUMBER(D16)),IF(7&lt;='Assumptions'!$D$37,M30,MIN(M29+M30,D16)),"n.a.")</x:f>
        <x:v>74272.78774824057</x:v>
      </x:c>
      <x:c r="N31" s="61" t="n">
        <x:f>IF(AND(ISNUMBER('Assumptions'!$D$37),ISNUMBER(N30),ISNUMBER(N29),ISNUMBER(D16)),IF(8&lt;='Assumptions'!$D$37,N30,MIN(N29+N30,D16)),"n.a.")</x:f>
        <x:v>74272.78774824057</x:v>
      </x:c>
      <x:c r="O31" s="61" t="n">
        <x:f>IF(AND(ISNUMBER('Assumptions'!$D$37),ISNUMBER(O30),ISNUMBER(O29),ISNUMBER(D16)),IF(9&lt;='Assumptions'!$D$37,O30,MIN(O29+O30,D16)),"n.a.")</x:f>
        <x:v>74272.78774824057</x:v>
      </x:c>
      <x:c r="P31" s="61" t="n">
        <x:f>IF(AND(ISNUMBER('Assumptions'!$D$37),ISNUMBER(P30),ISNUMBER(P29),ISNUMBER(D16)),IF(10&lt;='Assumptions'!$D$37,P30,MIN(P29+P30,D16)),"n.a.")</x:f>
        <x:v>74272.78774824057</x:v>
      </x:c>
      <x:c r="Q31" s="61" t="n">
        <x:f>IF(AND(ISNUMBER('Assumptions'!$D$37),ISNUMBER(Q30),ISNUMBER(Q29),ISNUMBER(D16)),IF(11&lt;='Assumptions'!$D$37,Q30,MIN(Q29+Q30,D16)),"n.a.")</x:f>
        <x:v>74272.78774824057</x:v>
      </x:c>
      <x:c r="R31" s="61" t="n">
        <x:f>IF(AND(ISNUMBER('Assumptions'!$D$37),ISNUMBER(R30),ISNUMBER(R29),ISNUMBER(D16)),IF(12&lt;='Assumptions'!$D$37,R30,MIN(R29+R30,D16)),"n.a.")</x:f>
        <x:v>74272.78774824057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0" t="n">
        <x:f>IF(AND(ISNUMBER(G31),ISNUMBER(G30)),G31-G30,"n.a.")</x:f>
        <x:v>0</x:v>
      </x:c>
      <x:c r="H32" s="60" t="n">
        <x:f>IF(AND(ISNUMBER(H31),ISNUMBER(H30)),H31-H30,"n.a.")</x:f>
        <x:v>0</x:v>
      </x:c>
      <x:c r="I32" s="60" t="n">
        <x:f>IF(AND(ISNUMBER(I31),ISNUMBER(I30)),I31-I30,"n.a.")</x:f>
        <x:v>0</x:v>
      </x:c>
      <x:c r="J32" s="60" t="n">
        <x:f>IF(AND(ISNUMBER(J31),ISNUMBER(J30)),J31-J30,"n.a.")</x:f>
        <x:v>0</x:v>
      </x:c>
      <x:c r="K32" s="60" t="n">
        <x:f>IF(AND(ISNUMBER(K31),ISNUMBER(K30)),K31-K30,"n.a.")</x:f>
        <x:v>0</x:v>
      </x:c>
      <x:c r="L32" s="60" t="n">
        <x:f>IF(AND(ISNUMBER(L31),ISNUMBER(L30)),L31-L30,"n.a.")</x:f>
        <x:v>0</x:v>
      </x:c>
      <x:c r="M32" s="60" t="n">
        <x:f>IF(AND(ISNUMBER(M31),ISNUMBER(M30)),M31-M30,"n.a.")</x:f>
        <x:v>14689.454414907239</x:v>
      </x:c>
      <x:c r="N32" s="60" t="n">
        <x:f>IF(AND(ISNUMBER(N31),ISNUMBER(N30)),N31-N30,"n.a.")</x:f>
        <x:v>14769.02229298799</x:v>
      </x:c>
      <x:c r="O32" s="60" t="n">
        <x:f>IF(AND(ISNUMBER(O31),ISNUMBER(O30)),O31-O30,"n.a.")</x:f>
        <x:v>14849.02116374168</x:v>
      </x:c>
      <x:c r="P32" s="60" t="n">
        <x:f>IF(AND(ISNUMBER(P31),ISNUMBER(P30)),P31-P30,"n.a.")</x:f>
        <x:v>14929.453361711938</x:v>
      </x:c>
      <x:c r="Q32" s="60" t="n">
        <x:f>IF(AND(ISNUMBER(Q31),ISNUMBER(Q30)),Q31-Q30,"n.a.")</x:f>
        <x:v>15010.321234087889</x:v>
      </x:c>
      <x:c r="R32" s="60" t="n">
        <x:f>IF(AND(ISNUMBER(R31),ISNUMBER(R30)),R31-R30,"n.a.")</x:f>
        <x:v>15091.627140772529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0" t="n">
        <x:f>IF(AND(ISNUMBER(G29),ISNUMBER(G32),ISNUMBER(G38)),G29-G32-G38,"n.a.")</x:f>
        <x:v>11000000</x:v>
      </x:c>
      <x:c r="H33" s="60" t="n">
        <x:f>IF(AND(ISNUMBER(H29),ISNUMBER(H32),ISNUMBER(H38)),H29-H32-H38,"n.a.")</x:f>
        <x:v>11000000</x:v>
      </x:c>
      <x:c r="I33" s="60" t="n">
        <x:f>IF(AND(ISNUMBER(I29),ISNUMBER(I32),ISNUMBER(I38)),I29-I32-I38,"n.a.")</x:f>
        <x:v>11000000</x:v>
      </x:c>
      <x:c r="J33" s="60" t="n">
        <x:f>IF(AND(ISNUMBER(J29),ISNUMBER(J32),ISNUMBER(J38)),J29-J32-J38,"n.a.")</x:f>
        <x:v>11000000</x:v>
      </x:c>
      <x:c r="K33" s="60" t="n">
        <x:f>IF(AND(ISNUMBER(K29),ISNUMBER(K32),ISNUMBER(K38)),K29-K32-K38,"n.a.")</x:f>
        <x:v>11000000</x:v>
      </x:c>
      <x:c r="L33" s="60" t="n">
        <x:f>IF(AND(ISNUMBER(L29),ISNUMBER(L32),ISNUMBER(L38)),L29-L32-L38,"n.a.")</x:f>
        <x:v>11000000</x:v>
      </x:c>
      <x:c r="M33" s="60" t="n">
        <x:f>IF(AND(ISNUMBER(M29),ISNUMBER(M32),ISNUMBER(M38)),M29-M32-M38,"n.a.")</x:f>
        <x:v>10985310.545585092</x:v>
      </x:c>
      <x:c r="N33" s="60" t="n">
        <x:f>IF(AND(ISNUMBER(N29),ISNUMBER(N32),ISNUMBER(N38)),N29-N32-N38,"n.a.")</x:f>
        <x:v>10970541.523292104</x:v>
      </x:c>
      <x:c r="O33" s="60" t="n">
        <x:f>IF(AND(ISNUMBER(O29),ISNUMBER(O32),ISNUMBER(O38)),O29-O32-O38,"n.a.")</x:f>
        <x:v>10955692.502128363</x:v>
      </x:c>
      <x:c r="P33" s="60" t="n">
        <x:f>IF(AND(ISNUMBER(P29),ISNUMBER(P32),ISNUMBER(P38)),P29-P32-P38,"n.a.")</x:f>
        <x:v>10940763.04876665</x:v>
      </x:c>
      <x:c r="Q33" s="60" t="n">
        <x:f>IF(AND(ISNUMBER(Q29),ISNUMBER(Q32),ISNUMBER(Q38)),Q29-Q32-Q38,"n.a.")</x:f>
        <x:v>10925752.727532562</x:v>
      </x:c>
      <x:c r="R33" s="60" t="n">
        <x:f>IF(AND(ISNUMBER(R29),ISNUMBER(R32),ISNUMBER(R38)),R29-R32-R38,"n.a.")</x:f>
        <x:v>10910661.10039179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1" t="n">
        <x:f>IF(AND(ISNUMBER('Operations'!G23)),'Operations'!G23,"n.a.")</x:f>
        <x:v>105114.83333333333</x:v>
      </x:c>
      <x:c r="H34" s="61" t="n">
        <x:f>IF(AND(ISNUMBER('Operations'!H23)),'Operations'!H23,"n.a.")</x:f>
        <x:v>105114.83333333333</x:v>
      </x:c>
      <x:c r="I34" s="61" t="n">
        <x:f>IF(AND(ISNUMBER('Operations'!I23)),'Operations'!I23,"n.a.")</x:f>
        <x:v>105114.83333333333</x:v>
      </x:c>
      <x:c r="J34" s="61" t="n">
        <x:f>IF(AND(ISNUMBER('Operations'!J23)),'Operations'!J23,"n.a.")</x:f>
        <x:v>105114.83333333333</x:v>
      </x:c>
      <x:c r="K34" s="61" t="n">
        <x:f>IF(AND(ISNUMBER('Operations'!K23)),'Operations'!K23,"n.a.")</x:f>
        <x:v>103931.23333333332</x:v>
      </x:c>
      <x:c r="L34" s="61" t="n">
        <x:f>IF(AND(ISNUMBER('Operations'!L23)),'Operations'!L23,"n.a.")</x:f>
        <x:v>103931.23333333332</x:v>
      </x:c>
      <x:c r="M34" s="61" t="n">
        <x:f>IF(AND(ISNUMBER('Operations'!M23)),'Operations'!M23,"n.a.")</x:f>
        <x:v>103931.23333333332</x:v>
      </x:c>
      <x:c r="N34" s="61" t="n">
        <x:f>IF(AND(ISNUMBER('Operations'!N23)),'Operations'!N23,"n.a.")</x:f>
        <x:v>103931.23333333332</x:v>
      </x:c>
      <x:c r="O34" s="61" t="n">
        <x:f>IF(AND(ISNUMBER('Operations'!O23)),'Operations'!O23,"n.a.")</x:f>
        <x:v>103931.23333333332</x:v>
      </x:c>
      <x:c r="P34" s="61" t="n">
        <x:f>IF(AND(ISNUMBER('Operations'!P23)),'Operations'!P23,"n.a.")</x:f>
        <x:v>105114.83333333333</x:v>
      </x:c>
      <x:c r="Q34" s="61" t="n">
        <x:f>IF(AND(ISNUMBER('Operations'!Q23)),'Operations'!Q23,"n.a.")</x:f>
        <x:v>105114.83333333333</x:v>
      </x:c>
      <x:c r="R34" s="61" t="n">
        <x:f>IF(AND(ISNUMBER('Operations'!R23)),'Operations'!R23,"n.a.")</x:f>
        <x:v>105114.83333333333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1" t="n">
        <x:f>IF(AND(ISNUMBER('Operations'!G18)),'Operations'!G18,"n.a.")</x:f>
        <x:v>7000</x:v>
      </x:c>
      <x:c r="H35" s="61" t="n">
        <x:f>IF(AND(ISNUMBER('Operations'!H18)),'Operations'!H18,"n.a.")</x:f>
        <x:v>7000</x:v>
      </x:c>
      <x:c r="I35" s="61" t="n">
        <x:f>IF(AND(ISNUMBER('Operations'!I18)),'Operations'!I18,"n.a.")</x:f>
        <x:v>7000</x:v>
      </x:c>
      <x:c r="J35" s="61" t="n">
        <x:f>IF(AND(ISNUMBER('Operations'!J18)),'Operations'!J18,"n.a.")</x:f>
        <x:v>7000</x:v>
      </x:c>
      <x:c r="K35" s="61" t="n">
        <x:f>IF(AND(ISNUMBER('Operations'!K18)),'Operations'!K18,"n.a.")</x:f>
        <x:v>7000</x:v>
      </x:c>
      <x:c r="L35" s="61" t="n">
        <x:f>IF(AND(ISNUMBER('Operations'!L18)),'Operations'!L18,"n.a.")</x:f>
        <x:v>7000</x:v>
      </x:c>
      <x:c r="M35" s="61" t="n">
        <x:f>IF(AND(ISNUMBER('Operations'!M18)),'Operations'!M18,"n.a.")</x:f>
        <x:v>420000</x:v>
      </x:c>
      <x:c r="N35" s="61" t="n">
        <x:f>IF(AND(ISNUMBER('Operations'!N18)),'Operations'!N18,"n.a.")</x:f>
        <x:v>-133000</x:v>
      </x:c>
      <x:c r="O35" s="61" t="n">
        <x:f>IF(AND(ISNUMBER('Operations'!O18)),'Operations'!O18,"n.a.")</x:f>
        <x:v>7000</x:v>
      </x:c>
      <x:c r="P35" s="61" t="n">
        <x:f>IF(AND(ISNUMBER('Operations'!P18)),'Operations'!P18,"n.a.")</x:f>
        <x:v>7000</x:v>
      </x:c>
      <x:c r="Q35" s="61" t="n">
        <x:f>IF(AND(ISNUMBER('Operations'!Q18)),'Operations'!Q18,"n.a.")</x:f>
        <x:v>7000</x:v>
      </x:c>
      <x:c r="R35" s="61" t="n">
        <x:f>IF(AND(ISNUMBER('Operations'!R18)),'Operations'!R18,"n.a.")</x:f>
        <x:v>7000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0" t="n">
        <x:f>IF(AND(ISNUMBER(G34),ISNUMBER(G31),ISNUMBER(G35),ISNUMBER(G38)),G34-G31-G35-G38,"n.a.")</x:f>
        <x:v>38531.49999999999</x:v>
      </x:c>
      <x:c r="H36" s="60" t="n">
        <x:f>IF(AND(ISNUMBER(H34),ISNUMBER(H31),ISNUMBER(H35),ISNUMBER(H38)),H34-H31-H35-H38,"n.a.")</x:f>
        <x:v>38531.49999999999</x:v>
      </x:c>
      <x:c r="I36" s="60" t="n">
        <x:f>IF(AND(ISNUMBER(I34),ISNUMBER(I31),ISNUMBER(I35),ISNUMBER(I38)),I34-I31-I35-I38,"n.a.")</x:f>
        <x:v>38531.49999999999</x:v>
      </x:c>
      <x:c r="J36" s="60" t="n">
        <x:f>IF(AND(ISNUMBER(J34),ISNUMBER(J31),ISNUMBER(J35),ISNUMBER(J38)),J34-J31-J35-J38,"n.a.")</x:f>
        <x:v>38531.49999999999</x:v>
      </x:c>
      <x:c r="K36" s="60" t="n">
        <x:f>IF(AND(ISNUMBER(K34),ISNUMBER(K31),ISNUMBER(K35),ISNUMBER(K38)),K34-K31-K35-K38,"n.a.")</x:f>
        <x:v>37347.89999999999</x:v>
      </x:c>
      <x:c r="L36" s="60" t="n">
        <x:f>IF(AND(ISNUMBER(L34),ISNUMBER(L31),ISNUMBER(L35),ISNUMBER(L38)),L34-L31-L35-L38,"n.a.")</x:f>
        <x:v>37347.89999999999</x:v>
      </x:c>
      <x:c r="M36" s="60" t="n">
        <x:f>IF(AND(ISNUMBER(M34),ISNUMBER(M31),ISNUMBER(M35),ISNUMBER(M38)),M34-M31-M35-M38,"n.a.")</x:f>
        <x:v>-390341.55441490724</x:v>
      </x:c>
      <x:c r="N36" s="60" t="n">
        <x:f>IF(AND(ISNUMBER(N34),ISNUMBER(N31),ISNUMBER(N35),ISNUMBER(N38)),N34-N31-N35-N38,"n.a.")</x:f>
        <x:v>162658.44558509276</x:v>
      </x:c>
      <x:c r="O36" s="60" t="n">
        <x:f>IF(AND(ISNUMBER(O34),ISNUMBER(O31),ISNUMBER(O35),ISNUMBER(O38)),O34-O31-O35-O38,"n.a.")</x:f>
        <x:v>22658.445585092748</x:v>
      </x:c>
      <x:c r="P36" s="60" t="n">
        <x:f>IF(AND(ISNUMBER(P34),ISNUMBER(P31),ISNUMBER(P35),ISNUMBER(P38)),P34-P31-P35-P38,"n.a.")</x:f>
        <x:v>23842.045585092754</x:v>
      </x:c>
      <x:c r="Q36" s="60" t="n">
        <x:f>IF(AND(ISNUMBER(Q34),ISNUMBER(Q31),ISNUMBER(Q35),ISNUMBER(Q38)),Q34-Q31-Q35-Q38,"n.a.")</x:f>
        <x:v>23842.045585092754</x:v>
      </x:c>
      <x:c r="R36" s="60" t="n">
        <x:f>IF(AND(ISNUMBER(R34),ISNUMBER(R31),ISNUMBER(R35),ISNUMBER(R38)),R34-R31-R35-R38,"n.a.")</x:f>
        <x:v>23842.045585092754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1" t="n">
        <x:f>IF(AND(ISNUMBER('Assumptions'!$D$22),ISNUMBER(G36)),'Assumptions'!$D$22+G36,"n.a.")</x:f>
        <x:v>438531.5</x:v>
      </x:c>
      <x:c r="H37" s="60" t="n">
        <x:f>IF(AND(ISNUMBER(G37),ISNUMBER(H36)),G37+H36,"n.a.")</x:f>
        <x:v>477063</x:v>
      </x:c>
      <x:c r="I37" s="60" t="n">
        <x:f>IF(AND(ISNUMBER(H37),ISNUMBER(I36)),H37+I36,"n.a.")</x:f>
        <x:v>515594.5</x:v>
      </x:c>
      <x:c r="J37" s="60" t="n">
        <x:f>IF(AND(ISNUMBER(I37),ISNUMBER(J36)),I37+J36,"n.a.")</x:f>
        <x:v>554126</x:v>
      </x:c>
      <x:c r="K37" s="60" t="n">
        <x:f>IF(AND(ISNUMBER(J37),ISNUMBER(K36)),J37+K36,"n.a.")</x:f>
        <x:v>591473.9</x:v>
      </x:c>
      <x:c r="L37" s="60" t="n">
        <x:f>IF(AND(ISNUMBER(K37),ISNUMBER(L36)),K37+L36,"n.a.")</x:f>
        <x:v>628821.8</x:v>
      </x:c>
      <x:c r="M37" s="60" t="n">
        <x:f>IF(AND(ISNUMBER(L37),ISNUMBER(M36)),L37+M36,"n.a.")</x:f>
        <x:v>238480.2455850928</x:v>
      </x:c>
      <x:c r="N37" s="60" t="n">
        <x:f>IF(AND(ISNUMBER(M37),ISNUMBER(N36)),M37+N36,"n.a.")</x:f>
        <x:v>401138.6911701856</x:v>
      </x:c>
      <x:c r="O37" s="60" t="n">
        <x:f>IF(AND(ISNUMBER(N37),ISNUMBER(O36)),N37+O36,"n.a.")</x:f>
        <x:v>423797.13675527833</x:v>
      </x:c>
      <x:c r="P37" s="60" t="n">
        <x:f>IF(AND(ISNUMBER(O37),ISNUMBER(P36)),O37+P36,"n.a.")</x:f>
        <x:v>447639.1823403711</x:v>
      </x:c>
      <x:c r="Q37" s="60" t="n">
        <x:f>IF(AND(ISNUMBER(P37),ISNUMBER(Q36)),P37+Q36,"n.a.")</x:f>
        <x:v>471481.2279254638</x:v>
      </x:c>
      <x:c r="R37" s="60" t="n">
        <x:f>IF(AND(ISNUMBER(Q37),ISNUMBER(R36)),Q37+R36,"n.a.")</x:f>
        <x:v>495323.27351055655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1" t="n">
        <x:f>IF(AND(ISNUMBER('Assumptions'!$D$40),ISNUMBER(G29),ISNUMBER(G32)),IF(1='Assumptions'!$D$40,G29-G32,0),"n.a.")</x:f>
        <x:v>0</x:v>
      </x:c>
      <x:c r="H38" s="61" t="n">
        <x:f>IF(AND(ISNUMBER('Assumptions'!$D$40),ISNUMBER(H29),ISNUMBER(H32)),IF(2='Assumptions'!$D$40,H29-H32,0),"n.a.")</x:f>
        <x:v>0</x:v>
      </x:c>
      <x:c r="I38" s="61" t="n">
        <x:f>IF(AND(ISNUMBER('Assumptions'!$D$40),ISNUMBER(I29),ISNUMBER(I32)),IF(3='Assumptions'!$D$40,I29-I32,0),"n.a.")</x:f>
        <x:v>0</x:v>
      </x:c>
      <x:c r="J38" s="61" t="n">
        <x:f>IF(AND(ISNUMBER('Assumptions'!$D$40),ISNUMBER(J29),ISNUMBER(J32)),IF(4='Assumptions'!$D$40,J29-J32,0),"n.a.")</x:f>
        <x:v>0</x:v>
      </x:c>
      <x:c r="K38" s="61" t="n">
        <x:f>IF(AND(ISNUMBER('Assumptions'!$D$40),ISNUMBER(K29),ISNUMBER(K32)),IF(5='Assumptions'!$D$40,K29-K32,0),"n.a.")</x:f>
        <x:v>0</x:v>
      </x:c>
      <x:c r="L38" s="61" t="n">
        <x:f>IF(AND(ISNUMBER('Assumptions'!$D$40),ISNUMBER(L29),ISNUMBER(L32)),IF(6='Assumptions'!$D$40,L29-L32,0),"n.a.")</x:f>
        <x:v>0</x:v>
      </x:c>
      <x:c r="M38" s="61" t="n">
        <x:f>IF(AND(ISNUMBER('Assumptions'!$D$40),ISNUMBER(M29),ISNUMBER(M32)),IF(7='Assumptions'!$D$40,M29-M32,0),"n.a.")</x:f>
        <x:v>0</x:v>
      </x:c>
      <x:c r="N38" s="61" t="n">
        <x:f>IF(AND(ISNUMBER('Assumptions'!$D$40),ISNUMBER(N29),ISNUMBER(N32)),IF(8='Assumptions'!$D$40,N29-N32,0),"n.a.")</x:f>
        <x:v>0</x:v>
      </x:c>
      <x:c r="O38" s="61" t="n">
        <x:f>IF(AND(ISNUMBER('Assumptions'!$D$40),ISNUMBER(O29),ISNUMBER(O32)),IF(9='Assumptions'!$D$40,O29-O32,0),"n.a.")</x:f>
        <x:v>0</x:v>
      </x:c>
      <x:c r="P38" s="61" t="n">
        <x:f>IF(AND(ISNUMBER('Assumptions'!$D$40),ISNUMBER(P29),ISNUMBER(P32)),IF(10='Assumptions'!$D$40,P29-P32,0),"n.a.")</x:f>
        <x:v>0</x:v>
      </x:c>
      <x:c r="Q38" s="61" t="n">
        <x:f>IF(AND(ISNUMBER('Assumptions'!$D$40),ISNUMBER(Q29),ISNUMBER(Q32)),IF(11='Assumptions'!$D$40,Q29-Q32,0),"n.a.")</x:f>
        <x:v>0</x:v>
      </x:c>
      <x:c r="R38" s="61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803136.7264894436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2" t="n">
        <x:f>IF(AND(ISNUMBER(D43),ISNUMBER(D9)),IF(D43=0,"n.a.",D9/D43),"n.a.")</x:f>
        <x:v>1.563195852700806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10910661.10039179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1850000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495323.27351055655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1" t="n">
        <x:f>22-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1" t="n">
        <x:f>COUNTIFS('Property Rent and Plant'!N10:N21,"Missing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1" t="n">
        <x:f>IF(AND(ISNUMBER('Operations'!E21),ISNUMBER('Operations'!E14),ISNUMBER('Operations'!E20)),'Operations'!E21-'Operations'!E14+'Operations'!E20,"n.a.")</x:f>
        <x:v>-1.1641532182693481e-10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1" t="n">
        <x:f>IF(AND(ISNUMBER('Operations'!E23),ISNUMBER('Operations'!E21),ISNUMBER('Operations'!E22)),'Operations'!E23-'Operations'!E21+'Operations'!E22,"n.a.")</x:f>
        <x:v>-2.3283064365386963e-10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1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1" t="n">
        <x:f>IF(COUNT('Debt and Funding'!G34:R36)=36,'Debt and Funding'!R37-'Assumptions'!$D$22-SUM('Debt and Funding'!G34:R34)+SUM('Debt and Funding'!G31:R31)+SUM('Debt and Funding'!G35:R35)+SUM('Debt and Funding'!G38:R38),"n.a.")</x:f>
        <x:v>2.3283064365386963e-10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1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Scope is leased real estate with identified landlord-paid plant obligations. Storage,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handling, distribution, inventory and customer-service business receipts are excluded;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the workbook is not a cold-chain operator model.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Only contracted property area produces rent. Utility cost is entered directly, including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idle-plant costs. The recovery fraction assumes collection in the same month; replace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the cash pattern if the lease has caps or delays.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Refrigeration maintenance and additional plant insurance exclude fixed property costs.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Plant replacement is capital below NCF. Capital reimbursement is also below NCF; a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negative net-capital month is a cash recovery, not rental income.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Identify equipment ownership, permitted refrigerant use, utility supply and maintenance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responsibilities separately. Lease cash, a specialized building and operator earnings do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not establish the same collateral value or lender income recognition.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Published by Jaken Finance Group. 833-264-7776 | info@jakenfinancegroup.com.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Every numerical assumption is illustrative. No current market quote, legal conclusion or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lender eligibility is represented.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 t="str">
        <x:v>NCF is a modeled cash measure after cash reserve deposits. An actual lender may adjust</x:v>
      </x:c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income, expenses, reserves, tax and business cash differently.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 t="str">
        <x:v>No tax return, appraisal, legal compliance, guaranty capacity or refinancing approval is</x:v>
      </x:c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established by the calculations.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 t="str">
        <x:v>Calculation methods and conventions are shown here. Check Review and replace</x:v>
      </x:c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illustrative inputs before relying on results.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