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d39ef8d6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2f575e7f7684f23"/>
    <x:sheet xmlns:r="http://schemas.openxmlformats.org/officeDocument/2006/relationships" name="Assumptions" sheetId="2" r:id="Re5c72161b96341f2"/>
    <x:sheet xmlns:r="http://schemas.openxmlformats.org/officeDocument/2006/relationships" name="Stay Length and Collections" sheetId="3" r:id="R6ec21ee2e6194f91"/>
    <x:sheet xmlns:r="http://schemas.openxmlformats.org/officeDocument/2006/relationships" name="Operations" sheetId="4" r:id="R57042f74d92f4dcd"/>
    <x:sheet xmlns:r="http://schemas.openxmlformats.org/officeDocument/2006/relationships" name="Debt and Funding" sheetId="5" r:id="R0216918ae9ba453f"/>
    <x:sheet xmlns:r="http://schemas.openxmlformats.org/officeDocument/2006/relationships" name="Review" sheetId="6" r:id="R6cc58970d00a4c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a296750c04786" /><Relationship Type="http://schemas.openxmlformats.org/officeDocument/2006/relationships/theme" Target="/xl/theme/theme1.xml" Id="Rdb8aeb3c081c4697" /><Relationship Type="http://schemas.openxmlformats.org/officeDocument/2006/relationships/sharedStrings" Target="/xl/sharedStrings.xml" Id="Rab15fff99d884ffd" /><Relationship Type="http://schemas.openxmlformats.org/officeDocument/2006/relationships/worksheet" Target="/xl/worksheets/sheet1.xml" Id="R52f575e7f7684f23" /><Relationship Type="http://schemas.openxmlformats.org/officeDocument/2006/relationships/worksheet" Target="/xl/worksheets/sheet2.xml" Id="Re5c72161b96341f2" /><Relationship Type="http://schemas.openxmlformats.org/officeDocument/2006/relationships/worksheet" Target="/xl/worksheets/sheet3.xml" Id="R6ec21ee2e6194f91" /><Relationship Type="http://schemas.openxmlformats.org/officeDocument/2006/relationships/worksheet" Target="/xl/worksheets/sheet4.xml" Id="R57042f74d92f4dcd" /><Relationship Type="http://schemas.openxmlformats.org/officeDocument/2006/relationships/worksheet" Target="/xl/worksheets/sheet5.xml" Id="R0216918ae9ba453f" /><Relationship Type="http://schemas.openxmlformats.org/officeDocument/2006/relationships/worksheet" Target="/xl/worksheets/sheet6.xml" Id="R6cc58970d00a4c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Extended-stay hotels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'Operations'!E19</x:f>
        <x:v>2694747.82218521</x:v>
      </x:c>
      <x:c r="E10" s="2"/>
      <x:c r="F10" s="2"/>
      <x:c r="G10" s="68" t="n">
        <x:f>'Operations'!G9</x:f>
        <x:v>46388</x:v>
      </x:c>
      <x:c r="H10" s="69" t="n">
        <x:f>'Debt and Funding'!G36</x:f>
        <x:v>55543.195634285716</x:v>
      </x:c>
      <x:c r="I10" s="69" t="n">
        <x:f>'Debt and Funding'!G37</x:f>
        <x:v>305543.1956342857</x:v>
      </x:c>
      <x:c r="J10" s="69" t="n">
        <x:f>'Debt and Funding'!G33</x:f>
        <x:v>9000000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'Operations'!E23</x:f>
        <x:v>1323792.324</x:v>
      </x:c>
      <x:c r="E11" s="2"/>
      <x:c r="F11" s="2"/>
      <x:c r="G11" s="68" t="n">
        <x:f>'Operations'!H9</x:f>
        <x:v>46419</x:v>
      </x:c>
      <x:c r="H11" s="69" t="n">
        <x:f>'Debt and Funding'!H36</x:f>
        <x:v>34049.175520000004</x:v>
      </x:c>
      <x:c r="I11" s="69" t="n">
        <x:f>'Debt and Funding'!H37</x:f>
        <x:v>339592.3711542857</x:v>
      </x:c>
      <x:c r="J11" s="69" t="n">
        <x:f>'Debt and Funding'!H33</x:f>
        <x:v>9000000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'Operations'!E24</x:f>
        <x:v>1370955.49818521</x:v>
      </x:c>
      <x:c r="E12" s="2"/>
      <x:c r="F12" s="2"/>
      <x:c r="G12" s="68" t="n">
        <x:f>'Operations'!I9</x:f>
        <x:v>46447</x:v>
      </x:c>
      <x:c r="H12" s="69" t="n">
        <x:f>'Debt and Funding'!I36</x:f>
        <x:v>43699.6276378857</x:v>
      </x:c>
      <x:c r="I12" s="69" t="n">
        <x:f>'Debt and Funding'!I37</x:f>
        <x:v>383291.99879217136</x:v>
      </x:c>
      <x:c r="J12" s="69" t="n">
        <x:f>'Debt and Funding'!I33</x:f>
        <x:v>9000000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'Operations'!E25</x:f>
        <x:v>107789.91288740841</x:v>
      </x:c>
      <x:c r="E13" s="2"/>
      <x:c r="F13" s="2"/>
      <x:c r="G13" s="68" t="n">
        <x:f>'Operations'!J9</x:f>
        <x:v>46478</x:v>
      </x:c>
      <x:c r="H13" s="69" t="n">
        <x:f>'Debt and Funding'!J36</x:f>
        <x:v>54294.00988089104</x:v>
      </x:c>
      <x:c r="I13" s="69" t="n">
        <x:f>'Debt and Funding'!J37</x:f>
        <x:v>437586.00867306243</x:v>
      </x:c>
      <x:c r="J13" s="69" t="n">
        <x:f>'Debt and Funding'!J33</x:f>
        <x:v>9000000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'Operations'!E26</x:f>
        <x:v>1263165.5852978015</x:v>
      </x:c>
      <x:c r="E14" s="2"/>
      <x:c r="F14" s="2"/>
      <x:c r="G14" s="68" t="n">
        <x:f>'Operations'!K9</x:f>
        <x:v>46508</x:v>
      </x:c>
      <x:c r="H14" s="69" t="n">
        <x:f>'Debt and Funding'!K36</x:f>
        <x:v>60810.50664152051</x:v>
      </x:c>
      <x:c r="I14" s="69" t="n">
        <x:f>'Debt and Funding'!K37</x:f>
        <x:v>498396.51531458297</x:v>
      </x:c>
      <x:c r="J14" s="69" t="n">
        <x:f>'Debt and Funding'!K33</x:f>
        <x:v>9000000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1263165.5852978015</x:v>
      </x:c>
      <x:c r="E15" s="2"/>
      <x:c r="F15" s="2"/>
      <x:c r="G15" s="68" t="n">
        <x:f>'Operations'!L9</x:f>
        <x:v>46539</x:v>
      </x:c>
      <x:c r="H15" s="69" t="n">
        <x:f>'Debt and Funding'!L36</x:f>
        <x:v>56907.994606976354</x:v>
      </x:c>
      <x:c r="I15" s="69" t="n">
        <x:f>'Debt and Funding'!L37</x:f>
        <x:v>555304.5099215594</x:v>
      </x:c>
      <x:c r="J15" s="69" t="n">
        <x:f>'Debt and Funding'!L33</x:f>
        <x:v>9000000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12471881.792808177</x:v>
      </x:c>
      <x:c r="E16" s="2"/>
      <x:c r="F16" s="2"/>
      <x:c r="G16" s="68" t="n">
        <x:f>'Operations'!M9</x:f>
        <x:v>46569</x:v>
      </x:c>
      <x:c r="H16" s="69" t="n">
        <x:f>'Debt and Funding'!M36</x:f>
        <x:v>49438.82333993889</x:v>
      </x:c>
      <x:c r="I16" s="69" t="n">
        <x:f>'Debt and Funding'!M37</x:f>
        <x:v>604743.3332614983</x:v>
      </x:c>
      <x:c r="J16" s="69" t="n">
        <x:f>'Debt and Funding'!M33</x:f>
        <x:v>8987981.355478711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9425000</x:v>
      </x:c>
      <x:c r="E17" s="2"/>
      <x:c r="F17" s="2"/>
      <x:c r="G17" s="68" t="n">
        <x:f>'Operations'!N9</x:f>
        <x:v>46600</x:v>
      </x:c>
      <x:c r="H17" s="69" t="n">
        <x:f>'Debt and Funding'!N36</x:f>
        <x:v>50015.783867565835</x:v>
      </x:c>
      <x:c r="I17" s="69" t="n">
        <x:f>'Debt and Funding'!N37</x:f>
        <x:v>654759.117129064</x:v>
      </x:c>
      <x:c r="J17" s="69" t="n">
        <x:f>'Debt and Funding'!N33</x:f>
        <x:v>8975897.609966267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14035173.169975573</x:v>
      </x:c>
      <x:c r="E18" s="2"/>
      <x:c r="F18" s="2"/>
      <x:c r="G18" s="68" t="n">
        <x:f>'Operations'!O9</x:f>
        <x:v>46631</x:v>
      </x:c>
      <x:c r="H18" s="69" t="n">
        <x:f>'Debt and Funding'!O36</x:f>
        <x:v>-129807.72928184646</x:v>
      </x:c>
      <x:c r="I18" s="69" t="n">
        <x:f>'Debt and Funding'!O37</x:f>
        <x:v>524951.3878472176</x:v>
      </x:c>
      <x:c r="J18" s="69" t="n">
        <x:f>'Debt and Funding'!O33</x:f>
        <x:v>8963748.410832297</x:v>
      </x:c>
      <x:c r="K18" s="2"/>
      <x:c r="L18" s="2"/>
    </x:row>
    <x:row r="19" ht="21" customHeight="1">
      <x:c r="A19" s="2"/>
      <x:c r="B19" s="2"/>
      <x:c r="C19" s="56" t="str">
        <x:v>Sized loan</x:v>
      </x:c>
      <x:c r="D19" s="65" t="n">
        <x:f>'Debt and Funding'!D14</x:f>
        <x:v>9000000</x:v>
      </x:c>
      <x:c r="E19" s="2"/>
      <x:c r="F19" s="2"/>
      <x:c r="G19" s="68" t="n">
        <x:f>'Operations'!P9</x:f>
        <x:v>46661</x:v>
      </x:c>
      <x:c r="H19" s="69" t="n">
        <x:f>'Debt and Funding'!P36</x:f>
        <x:v>34851.354550759694</x:v>
      </x:c>
      <x:c r="I19" s="69" t="n">
        <x:f>'Debt and Funding'!P37</x:f>
        <x:v>559802.7423979773</x:v>
      </x:c>
      <x:c r="J19" s="69" t="n">
        <x:f>'Debt and Funding'!P33</x:f>
        <x:v>8951533.403536351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6" t="str">
        <x:f>'Debt and Funding'!D15</x:f>
        <x:v>Requested ceiling</x:v>
      </x:c>
      <x:c r="E20" s="2"/>
      <x:c r="F20" s="2"/>
      <x:c r="G20" s="68" t="n">
        <x:f>'Operations'!Q9</x:f>
        <x:v>46692</x:v>
      </x:c>
      <x:c r="H20" s="69" t="n">
        <x:f>'Debt and Funding'!Q36</x:f>
        <x:v>28870.572632415402</x:v>
      </x:c>
      <x:c r="I20" s="69" t="n">
        <x:f>'Debt and Funding'!Q37</x:f>
        <x:v>588673.3150303927</x:v>
      </x:c>
      <x:c r="J20" s="69" t="n">
        <x:f>'Debt and Funding'!Q33</x:f>
        <x:v>8939252.231617551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657111.8671277266</x:v>
      </x:c>
      <x:c r="E21" s="2"/>
      <x:c r="F21" s="2"/>
      <x:c r="G21" s="68" t="n">
        <x:f>'Operations'!R9</x:f>
        <x:v>46722</x:v>
      </x:c>
      <x:c r="H21" s="69" t="n">
        <x:f>'Debt and Funding'!R36</x:f>
        <x:v>32380.40313968235</x:v>
      </x:c>
      <x:c r="I21" s="69" t="n">
        <x:f>'Debt and Funding'!R37</x:f>
        <x:v>621053.7181700751</x:v>
      </x:c>
      <x:c r="J21" s="69" t="n">
        <x:f>'Debt and Funding'!R33</x:f>
        <x:v>8926904.536684193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7" t="n">
        <x:f>'Debt and Funding'!D44</x:f>
        <x:v>1.922299152531167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5000000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1500000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6" t="str">
        <x:v>Sponsor cash after all modeled needs</x:v>
      </x:c>
      <x:c r="D26" s="65" t="n">
        <x:f>'Debt and Funding'!D47</x:f>
        <x:v>1500000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8926904.536684193</x:v>
      </x:c>
      <x:c r="E27" s="2"/>
      <x:c r="F27" s="2"/>
      <x:c r="G27" s="2" t="str">
        <x:v>Edit blue cells in Stay Length and Collections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8248448.745633448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14500000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14500000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12500000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13500000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13500000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13500000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250000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250000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250000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6500000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6500000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6500000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9000000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9000000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9000000</x:v>
      </x:c>
      <x:c r="E30" s="2"/>
      <x:c r="F30" s="2"/>
      <x:c r="G30" s="42" t="str">
        <x:v>Room-nights use calendar days. Completed stays equal occupied nights / average stay length as a steady-state cleaning estimate; arrival-level timing and early departures are not modeled.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Night-service costs exclude the separate departure cleaning cost. Brand fees use earned room charges, including uncollected corporate bills. Payroll and fixed property costs must cover distinct expenses.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Corporate charges roll through current receipts, prior receipts, write-offs and ending receivables. Noncorporate charges are collected immediately. Operating revenue is cash received; one-time receivable recovery may need a lender NCF adjustment. Write-offs are not deducted again as cash expense.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Rates exclude lodging taxes and ancillary income. Room-use legality, guest tenancy rights, franchise terms, corporate credit and actual collection timing require separate review. This is hotel operating cash, not an apartment rent roll or a guaranteed debt-service basis.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300000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300000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335000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0.04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0.04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0.05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Opening corporate receivable</x:v>
      </x:c>
      <x:c r="D73" s="26" t="n">
        <x:f>IF($D$5=1,IF(ISNUMBER(D74),IF(AND(D74&gt;=0,D74&lt;=1000000000000),D74,"n.a."),"n.a."),IF($D$5=2,IF(ISNUMBER(D75),IF(AND(D75&gt;=0,D75&lt;=1000000000000),D75,"n.a."),"n.a."),"n.a."))</x:f>
        <x:v>50000</x:v>
      </x:c>
      <x:c r="E73" s="22" t="str">
        <x:v>USD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27" t="n">
        <x:v>50000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27" t="n">
        <x:v>70000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31" t="str">
        <x:v>Opening corporate receivable collected monthly</x:v>
      </x:c>
      <x:c r="D76" s="32" t="n">
        <x:f>IF($D$5=1,IF(ISNUMBER(D77),IF(AND(D77&gt;=0,D77&lt;=1),D77,"n.a."),"n.a."),IF($D$5=2,IF(ISNUMBER(D78),IF(AND(D78&gt;=0,D78&lt;=1),D78,"n.a."),"n.a."),"n.a."))</x:f>
        <x:v>0.75</x:v>
      </x:c>
      <x:c r="E76" s="33" t="str">
        <x:v>%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34" t="str">
        <x:v>Base</x:v>
      </x:c>
      <x:c r="D77" s="35" t="n">
        <x:v>0.75</x:v>
      </x:c>
      <x:c r="E77" s="36"/>
      <x:c r="F77" s="2"/>
      <x:c r="G77" s="2"/>
      <x:c r="H77" s="2"/>
      <x:c r="I77" s="2"/>
      <x:c r="J77" s="2"/>
    </x:row>
    <x:row r="78" ht="21" customHeight="1">
      <x:c r="A78" s="2"/>
      <x:c r="B78" s="2"/>
      <x:c r="C78" s="34" t="str">
        <x:v>Downside</x:v>
      </x:c>
      <x:c r="D78" s="35" t="n">
        <x:v>0.5</x:v>
      </x:c>
      <x:c r="E78" s="36"/>
      <x:c r="F78" s="2"/>
      <x:c r="G78" s="2"/>
      <x:c r="H78" s="2"/>
      <x:c r="I78" s="2"/>
      <x:c r="J78" s="2"/>
    </x:row>
    <x:row r="79" ht="21" customHeight="1">
      <x:c r="A79" s="2"/>
      <x:c r="B79" s="2"/>
      <x:c r="C79" s="31" t="str">
        <x:v>Monthly write-off / uncollected opening balance</x:v>
      </x:c>
      <x:c r="D79" s="32" t="n">
        <x:f>IF($D$5=1,IF(ISNUMBER(D80),IF(AND(D80&gt;=0,D80&lt;=1),D80,"n.a."),"n.a."),IF($D$5=2,IF(ISNUMBER(D81),IF(AND(D81&gt;=0,D81&lt;=1),D81,"n.a."),"n.a."),"n.a."))</x:f>
        <x:v>0.01</x:v>
      </x:c>
      <x:c r="E79" s="33" t="str">
        <x:v>%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34" t="str">
        <x:v>Base</x:v>
      </x:c>
      <x:c r="D80" s="35" t="n">
        <x:v>0.01</x:v>
      </x:c>
      <x:c r="E80" s="36"/>
      <x:c r="F80" s="2"/>
      <x:c r="G80" s="2"/>
      <x:c r="H80" s="2"/>
      <x:c r="I80" s="2"/>
      <x:c r="J80" s="2"/>
    </x:row>
    <x:row r="81" ht="21" customHeight="1">
      <x:c r="A81" s="2"/>
      <x:c r="B81" s="2"/>
      <x:c r="C81" s="34" t="str">
        <x:v>Downside</x:v>
      </x:c>
      <x:c r="D81" s="35" t="n">
        <x:v>0.03</x:v>
      </x:c>
      <x:c r="E81" s="36"/>
      <x:c r="F81" s="2"/>
      <x:c r="G81" s="2"/>
      <x:c r="H81" s="2"/>
      <x:c r="I81" s="2"/>
      <x:c r="J81" s="2"/>
    </x:row>
    <x:row r="82" ht="21" customHeight="1">
      <x:c r="A82" s="2"/>
      <x:c r="B82" s="2"/>
      <x:c r="C82" s="31" t="str">
        <x:v>Brand and distribution fee / room charges</x:v>
      </x:c>
      <x:c r="D82" s="32" t="n">
        <x:f>IF($D$5=1,IF(ISNUMBER(D83),IF(AND(D83&gt;=0,D83&lt;=1),D83,"n.a."),"n.a."),IF($D$5=2,IF(ISNUMBER(D84),IF(AND(D84&gt;=0,D84&lt;=1),D84,"n.a."),"n.a."),"n.a."))</x:f>
        <x:v>0.045</x:v>
      </x:c>
      <x:c r="E82" s="33" t="str">
        <x:v>%</x:v>
      </x:c>
      <x:c r="F82" s="2"/>
      <x:c r="G82" s="2"/>
      <x:c r="H82" s="2"/>
      <x:c r="I82" s="2"/>
      <x:c r="J82" s="2"/>
    </x:row>
    <x:row r="83" ht="21" customHeight="1">
      <x:c r="A83" s="2"/>
      <x:c r="B83" s="2"/>
      <x:c r="C83" s="34" t="str">
        <x:v>Base</x:v>
      </x:c>
      <x:c r="D83" s="35" t="n">
        <x:v>0.045</x:v>
      </x:c>
      <x:c r="E83" s="36"/>
      <x:c r="F83" s="2"/>
      <x:c r="G83" s="2"/>
      <x:c r="H83" s="2"/>
      <x:c r="I83" s="2"/>
      <x:c r="J83" s="2"/>
    </x:row>
    <x:row r="84" ht="21" customHeight="1">
      <x:c r="A84" s="2"/>
      <x:c r="B84" s="2"/>
      <x:c r="C84" s="34" t="str">
        <x:v>Downside</x:v>
      </x:c>
      <x:c r="D84" s="35" t="n">
        <x:v>0.045</x:v>
      </x:c>
      <x:c r="E84" s="36"/>
      <x:c r="F84" s="2"/>
      <x:c r="G84" s="2"/>
      <x:c r="H84" s="2"/>
      <x:c r="I84" s="2"/>
      <x:c r="J84" s="2"/>
    </x:row>
    <x:row r="85" ht="21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1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1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1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1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</x:sheetData>
  <x:dataValidations count="52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  <x:dataValidation type="decimal" operator="between" sqref="D77">
      <x:formula1>0</x:formula1>
      <x:formula2>1</x:formula2>
    </x:dataValidation>
    <x:dataValidation type="decimal" operator="between" sqref="D78">
      <x:formula1>0</x:formula1>
      <x:formula2>1</x:formula2>
    </x:dataValidation>
    <x:dataValidation type="decimal" operator="between" sqref="D80">
      <x:formula1>0</x:formula1>
      <x:formula2>1</x:formula2>
    </x:dataValidation>
    <x:dataValidation type="decimal" operator="between" sqref="D81">
      <x:formula1>0</x:formula1>
      <x:formula2>1</x:formula2>
    </x:dataValidation>
    <x:dataValidation type="decimal" operator="between" sqref="D83">
      <x:formula1>0</x:formula1>
      <x:formula2>1</x:formula2>
    </x:dataValidation>
    <x:dataValidation type="decimal" operator="between" sqref="D84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Stay Length and Collections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Available rooms</x:v>
      </x:c>
      <x:c r="E9" s="21" t="str">
        <x:v>Occupied fraction</x:v>
      </x:c>
      <x:c r="F9" s="21" t="str">
        <x:v>Daily room rate, net of lodging tax</x:v>
      </x:c>
      <x:c r="G9" s="21" t="str">
        <x:v>Average paid stay length</x:v>
      </x:c>
      <x:c r="H9" s="21" t="str">
        <x:v>Service cost / occupied night</x:v>
      </x:c>
      <x:c r="I9" s="21" t="str">
        <x:v>Departure cleaning / completed stay</x:v>
      </x:c>
      <x:c r="J9" s="21" t="str">
        <x:v>Corporate billed share of charges</x:v>
      </x:c>
      <x:c r="K9" s="21" t="str">
        <x:v>Current corporate bills collected</x:v>
      </x:c>
      <x:c r="L9" s="21" t="str">
        <x:v>Monthly operating payroll</x:v>
      </x:c>
      <x:c r="M9" s="21" t="str">
        <x:v>Room and property capital</x:v>
      </x:c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90</x:v>
      </x:c>
      <x:c r="E10" s="30" t="n">
        <x:v>0.76</x:v>
      </x:c>
      <x:c r="F10" s="27" t="n">
        <x:v>102</x:v>
      </x:c>
      <x:c r="G10" s="16" t="n">
        <x:v>14</x:v>
      </x:c>
      <x:c r="H10" s="27" t="n">
        <x:v>11</x:v>
      </x:c>
      <x:c r="I10" s="27" t="n">
        <x:v>65</x:v>
      </x:c>
      <x:c r="J10" s="30" t="n">
        <x:v>0.35</x:v>
      </x:c>
      <x:c r="K10" s="30" t="n">
        <x:v>0.65</x:v>
      </x:c>
      <x:c r="L10" s="27" t="n">
        <x:v>41000</x:v>
      </x:c>
      <x:c r="M10" s="27" t="n">
        <x:v>5000</x:v>
      </x:c>
      <x:c r="N10" s="13" t="str">
        <x:f>IF(AND(IF(ISNUMBER(D10),AND(D10&gt;=0,D10&lt;=1000000000000),FALSE),IF(ISNUMBER(E10),AND(E10&gt;=0,E10&lt;=1),FALSE),IF(ISNUMBER(F10),AND(F10&gt;=0,F10&lt;=1000000000000),FALSE),IF(ISNUMBER(G10),AND(G10&gt;=0.1,G10&lt;=365),FALSE),IF(ISNUMBER(H10),AND(H10&gt;=0,H10&lt;=1000000000000),FALSE),IF(ISNUMBER(I10),AND(I10&gt;=0,I10&lt;=1000000000000),FALSE),IF(ISNUMBER(J10),AND(J10&gt;=0,J10&lt;=1),FALSE),IF(ISNUMBER(K10),AND(K10&gt;=0,K10&lt;=1),FALSE),IF(ISNUMBER(L10),AND(L10&gt;=0,L10&lt;=1000000000000),FALSE),IF(ISNUMBER(M10),AND(M10&gt;=0,M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90</x:v>
      </x:c>
      <x:c r="E11" s="30" t="n">
        <x:v>0.76</x:v>
      </x:c>
      <x:c r="F11" s="27" t="n">
        <x:v>102</x:v>
      </x:c>
      <x:c r="G11" s="16" t="n">
        <x:v>14</x:v>
      </x:c>
      <x:c r="H11" s="27" t="n">
        <x:v>11</x:v>
      </x:c>
      <x:c r="I11" s="27" t="n">
        <x:v>65</x:v>
      </x:c>
      <x:c r="J11" s="30" t="n">
        <x:v>0.35</x:v>
      </x:c>
      <x:c r="K11" s="30" t="n">
        <x:v>0.65</x:v>
      </x:c>
      <x:c r="L11" s="27" t="n">
        <x:v>41000</x:v>
      </x:c>
      <x:c r="M11" s="27" t="n">
        <x:v>5000</x:v>
      </x:c>
      <x:c r="N11" s="13" t="str">
        <x:f>IF(AND(IF(ISNUMBER(D11),AND(D11&gt;=0,D11&lt;=1000000000000),FALSE),IF(ISNUMBER(E11),AND(E11&gt;=0,E11&lt;=1),FALSE),IF(ISNUMBER(F11),AND(F11&gt;=0,F11&lt;=1000000000000),FALSE),IF(ISNUMBER(G11),AND(G11&gt;=0.1,G11&lt;=365),FALSE),IF(ISNUMBER(H11),AND(H11&gt;=0,H11&lt;=1000000000000),FALSE),IF(ISNUMBER(I11),AND(I11&gt;=0,I11&lt;=1000000000000),FALSE),IF(ISNUMBER(J11),AND(J11&gt;=0,J11&lt;=1),FALSE),IF(ISNUMBER(K11),AND(K11&gt;=0,K11&lt;=1),FALSE),IF(ISNUMBER(L11),AND(L11&gt;=0,L11&lt;=1000000000000),FALSE),IF(ISNUMBER(M11),AND(M11&gt;=0,M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90</x:v>
      </x:c>
      <x:c r="E12" s="30" t="n">
        <x:v>0.76</x:v>
      </x:c>
      <x:c r="F12" s="27" t="n">
        <x:v>102</x:v>
      </x:c>
      <x:c r="G12" s="16" t="n">
        <x:v>14</x:v>
      </x:c>
      <x:c r="H12" s="27" t="n">
        <x:v>11</x:v>
      </x:c>
      <x:c r="I12" s="27" t="n">
        <x:v>65</x:v>
      </x:c>
      <x:c r="J12" s="30" t="n">
        <x:v>0.35</x:v>
      </x:c>
      <x:c r="K12" s="30" t="n">
        <x:v>0.65</x:v>
      </x:c>
      <x:c r="L12" s="27" t="n">
        <x:v>41000</x:v>
      </x:c>
      <x:c r="M12" s="27" t="n">
        <x:v>5000</x:v>
      </x:c>
      <x:c r="N12" s="13" t="str">
        <x:f>IF(AND(IF(ISNUMBER(D12),AND(D12&gt;=0,D12&lt;=1000000000000),FALSE),IF(ISNUMBER(E12),AND(E12&gt;=0,E12&lt;=1),FALSE),IF(ISNUMBER(F12),AND(F12&gt;=0,F12&lt;=1000000000000),FALSE),IF(ISNUMBER(G12),AND(G12&gt;=0.1,G12&lt;=365),FALSE),IF(ISNUMBER(H12),AND(H12&gt;=0,H12&lt;=1000000000000),FALSE),IF(ISNUMBER(I12),AND(I12&gt;=0,I12&lt;=1000000000000),FALSE),IF(ISNUMBER(J12),AND(J12&gt;=0,J12&lt;=1),FALSE),IF(ISNUMBER(K12),AND(K12&gt;=0,K12&lt;=1),FALSE),IF(ISNUMBER(L12),AND(L12&gt;=0,L12&lt;=1000000000000),FALSE),IF(ISNUMBER(M12),AND(M12&gt;=0,M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90</x:v>
      </x:c>
      <x:c r="E13" s="30" t="n">
        <x:v>0.84</x:v>
      </x:c>
      <x:c r="F13" s="27" t="n">
        <x:v>102</x:v>
      </x:c>
      <x:c r="G13" s="16" t="n">
        <x:v>14</x:v>
      </x:c>
      <x:c r="H13" s="27" t="n">
        <x:v>11</x:v>
      </x:c>
      <x:c r="I13" s="27" t="n">
        <x:v>65</x:v>
      </x:c>
      <x:c r="J13" s="30" t="n">
        <x:v>0.35</x:v>
      </x:c>
      <x:c r="K13" s="30" t="n">
        <x:v>0.65</x:v>
      </x:c>
      <x:c r="L13" s="27" t="n">
        <x:v>41000</x:v>
      </x:c>
      <x:c r="M13" s="27" t="n">
        <x:v>5000</x:v>
      </x:c>
      <x:c r="N13" s="13" t="str">
        <x:f>IF(AND(IF(ISNUMBER(D13),AND(D13&gt;=0,D13&lt;=1000000000000),FALSE),IF(ISNUMBER(E13),AND(E13&gt;=0,E13&lt;=1),FALSE),IF(ISNUMBER(F13),AND(F13&gt;=0,F13&lt;=1000000000000),FALSE),IF(ISNUMBER(G13),AND(G13&gt;=0.1,G13&lt;=365),FALSE),IF(ISNUMBER(H13),AND(H13&gt;=0,H13&lt;=1000000000000),FALSE),IF(ISNUMBER(I13),AND(I13&gt;=0,I13&lt;=1000000000000),FALSE),IF(ISNUMBER(J13),AND(J13&gt;=0,J13&lt;=1),FALSE),IF(ISNUMBER(K13),AND(K13&gt;=0,K13&lt;=1),FALSE),IF(ISNUMBER(L13),AND(L13&gt;=0,L13&lt;=1000000000000),FALSE),IF(ISNUMBER(M13),AND(M13&gt;=0,M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90</x:v>
      </x:c>
      <x:c r="E14" s="30" t="n">
        <x:v>0.84</x:v>
      </x:c>
      <x:c r="F14" s="27" t="n">
        <x:v>102</x:v>
      </x:c>
      <x:c r="G14" s="16" t="n">
        <x:v>14</x:v>
      </x:c>
      <x:c r="H14" s="27" t="n">
        <x:v>11</x:v>
      </x:c>
      <x:c r="I14" s="27" t="n">
        <x:v>65</x:v>
      </x:c>
      <x:c r="J14" s="30" t="n">
        <x:v>0.35</x:v>
      </x:c>
      <x:c r="K14" s="30" t="n">
        <x:v>0.65</x:v>
      </x:c>
      <x:c r="L14" s="27" t="n">
        <x:v>41000</x:v>
      </x:c>
      <x:c r="M14" s="27" t="n">
        <x:v>5000</x:v>
      </x:c>
      <x:c r="N14" s="13" t="str">
        <x:f>IF(AND(IF(ISNUMBER(D14),AND(D14&gt;=0,D14&lt;=1000000000000),FALSE),IF(ISNUMBER(E14),AND(E14&gt;=0,E14&lt;=1),FALSE),IF(ISNUMBER(F14),AND(F14&gt;=0,F14&lt;=1000000000000),FALSE),IF(ISNUMBER(G14),AND(G14&gt;=0.1,G14&lt;=365),FALSE),IF(ISNUMBER(H14),AND(H14&gt;=0,H14&lt;=1000000000000),FALSE),IF(ISNUMBER(I14),AND(I14&gt;=0,I14&lt;=1000000000000),FALSE),IF(ISNUMBER(J14),AND(J14&gt;=0,J14&lt;=1),FALSE),IF(ISNUMBER(K14),AND(K14&gt;=0,K14&lt;=1),FALSE),IF(ISNUMBER(L14),AND(L14&gt;=0,L14&lt;=1000000000000),FALSE),IF(ISNUMBER(M14),AND(M14&gt;=0,M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90</x:v>
      </x:c>
      <x:c r="E15" s="30" t="n">
        <x:v>0.84</x:v>
      </x:c>
      <x:c r="F15" s="27" t="n">
        <x:v>102</x:v>
      </x:c>
      <x:c r="G15" s="16" t="n">
        <x:v>14</x:v>
      </x:c>
      <x:c r="H15" s="27" t="n">
        <x:v>11</x:v>
      </x:c>
      <x:c r="I15" s="27" t="n">
        <x:v>65</x:v>
      </x:c>
      <x:c r="J15" s="30" t="n">
        <x:v>0.35</x:v>
      </x:c>
      <x:c r="K15" s="30" t="n">
        <x:v>0.65</x:v>
      </x:c>
      <x:c r="L15" s="27" t="n">
        <x:v>41000</x:v>
      </x:c>
      <x:c r="M15" s="27" t="n">
        <x:v>5000</x:v>
      </x:c>
      <x:c r="N15" s="13" t="str">
        <x:f>IF(AND(IF(ISNUMBER(D15),AND(D15&gt;=0,D15&lt;=1000000000000),FALSE),IF(ISNUMBER(E15),AND(E15&gt;=0,E15&lt;=1),FALSE),IF(ISNUMBER(F15),AND(F15&gt;=0,F15&lt;=1000000000000),FALSE),IF(ISNUMBER(G15),AND(G15&gt;=0.1,G15&lt;=365),FALSE),IF(ISNUMBER(H15),AND(H15&gt;=0,H15&lt;=1000000000000),FALSE),IF(ISNUMBER(I15),AND(I15&gt;=0,I15&lt;=1000000000000),FALSE),IF(ISNUMBER(J15),AND(J15&gt;=0,J15&lt;=1),FALSE),IF(ISNUMBER(K15),AND(K15&gt;=0,K15&lt;=1),FALSE),IF(ISNUMBER(L15),AND(L15&gt;=0,L15&lt;=1000000000000),FALSE),IF(ISNUMBER(M15),AND(M15&gt;=0,M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90</x:v>
      </x:c>
      <x:c r="E16" s="30" t="n">
        <x:v>0.84</x:v>
      </x:c>
      <x:c r="F16" s="27" t="n">
        <x:v>102</x:v>
      </x:c>
      <x:c r="G16" s="16" t="n">
        <x:v>14</x:v>
      </x:c>
      <x:c r="H16" s="27" t="n">
        <x:v>11</x:v>
      </x:c>
      <x:c r="I16" s="27" t="n">
        <x:v>65</x:v>
      </x:c>
      <x:c r="J16" s="30" t="n">
        <x:v>0.35</x:v>
      </x:c>
      <x:c r="K16" s="30" t="n">
        <x:v>0.65</x:v>
      </x:c>
      <x:c r="L16" s="27" t="n">
        <x:v>41000</x:v>
      </x:c>
      <x:c r="M16" s="27" t="n">
        <x:v>5000</x:v>
      </x:c>
      <x:c r="N16" s="13" t="str">
        <x:f>IF(AND(IF(ISNUMBER(D16),AND(D16&gt;=0,D16&lt;=1000000000000),FALSE),IF(ISNUMBER(E16),AND(E16&gt;=0,E16&lt;=1),FALSE),IF(ISNUMBER(F16),AND(F16&gt;=0,F16&lt;=1000000000000),FALSE),IF(ISNUMBER(G16),AND(G16&gt;=0.1,G16&lt;=365),FALSE),IF(ISNUMBER(H16),AND(H16&gt;=0,H16&lt;=1000000000000),FALSE),IF(ISNUMBER(I16),AND(I16&gt;=0,I16&lt;=1000000000000),FALSE),IF(ISNUMBER(J16),AND(J16&gt;=0,J16&lt;=1),FALSE),IF(ISNUMBER(K16),AND(K16&gt;=0,K16&lt;=1),FALSE),IF(ISNUMBER(L16),AND(L16&gt;=0,L16&lt;=1000000000000),FALSE),IF(ISNUMBER(M16),AND(M16&gt;=0,M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90</x:v>
      </x:c>
      <x:c r="E17" s="30" t="n">
        <x:v>0.84</x:v>
      </x:c>
      <x:c r="F17" s="27" t="n">
        <x:v>102</x:v>
      </x:c>
      <x:c r="G17" s="16" t="n">
        <x:v>14</x:v>
      </x:c>
      <x:c r="H17" s="27" t="n">
        <x:v>11</x:v>
      </x:c>
      <x:c r="I17" s="27" t="n">
        <x:v>65</x:v>
      </x:c>
      <x:c r="J17" s="30" t="n">
        <x:v>0.35</x:v>
      </x:c>
      <x:c r="K17" s="30" t="n">
        <x:v>0.65</x:v>
      </x:c>
      <x:c r="L17" s="27" t="n">
        <x:v>41000</x:v>
      </x:c>
      <x:c r="M17" s="27" t="n">
        <x:v>5000</x:v>
      </x:c>
      <x:c r="N17" s="13" t="str">
        <x:f>IF(AND(IF(ISNUMBER(D17),AND(D17&gt;=0,D17&lt;=1000000000000),FALSE),IF(ISNUMBER(E17),AND(E17&gt;=0,E17&lt;=1),FALSE),IF(ISNUMBER(F17),AND(F17&gt;=0,F17&lt;=1000000000000),FALSE),IF(ISNUMBER(G17),AND(G17&gt;=0.1,G17&lt;=365),FALSE),IF(ISNUMBER(H17),AND(H17&gt;=0,H17&lt;=1000000000000),FALSE),IF(ISNUMBER(I17),AND(I17&gt;=0,I17&lt;=1000000000000),FALSE),IF(ISNUMBER(J17),AND(J17&gt;=0,J17&lt;=1),FALSE),IF(ISNUMBER(K17),AND(K17&gt;=0,K17&lt;=1),FALSE),IF(ISNUMBER(L17),AND(L17&gt;=0,L17&lt;=1000000000000),FALSE),IF(ISNUMBER(M17),AND(M17&gt;=0,M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90</x:v>
      </x:c>
      <x:c r="E18" s="30" t="n">
        <x:v>0.84</x:v>
      </x:c>
      <x:c r="F18" s="27" t="n">
        <x:v>102</x:v>
      </x:c>
      <x:c r="G18" s="16" t="n">
        <x:v>14</x:v>
      </x:c>
      <x:c r="H18" s="27" t="n">
        <x:v>11</x:v>
      </x:c>
      <x:c r="I18" s="27" t="n">
        <x:v>65</x:v>
      </x:c>
      <x:c r="J18" s="30" t="n">
        <x:v>0.35</x:v>
      </x:c>
      <x:c r="K18" s="30" t="n">
        <x:v>0.65</x:v>
      </x:c>
      <x:c r="L18" s="27" t="n">
        <x:v>41000</x:v>
      </x:c>
      <x:c r="M18" s="27" t="n">
        <x:v>180000</x:v>
      </x:c>
      <x:c r="N18" s="13" t="str">
        <x:f>IF(AND(IF(ISNUMBER(D18),AND(D18&gt;=0,D18&lt;=1000000000000),FALSE),IF(ISNUMBER(E18),AND(E18&gt;=0,E18&lt;=1),FALSE),IF(ISNUMBER(F18),AND(F18&gt;=0,F18&lt;=1000000000000),FALSE),IF(ISNUMBER(G18),AND(G18&gt;=0.1,G18&lt;=365),FALSE),IF(ISNUMBER(H18),AND(H18&gt;=0,H18&lt;=1000000000000),FALSE),IF(ISNUMBER(I18),AND(I18&gt;=0,I18&lt;=1000000000000),FALSE),IF(ISNUMBER(J18),AND(J18&gt;=0,J18&lt;=1),FALSE),IF(ISNUMBER(K18),AND(K18&gt;=0,K18&lt;=1),FALSE),IF(ISNUMBER(L18),AND(L18&gt;=0,L18&lt;=1000000000000),FALSE),IF(ISNUMBER(M18),AND(M18&gt;=0,M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90</x:v>
      </x:c>
      <x:c r="E19" s="30" t="n">
        <x:v>0.76</x:v>
      </x:c>
      <x:c r="F19" s="27" t="n">
        <x:v>102</x:v>
      </x:c>
      <x:c r="G19" s="16" t="n">
        <x:v>14</x:v>
      </x:c>
      <x:c r="H19" s="27" t="n">
        <x:v>11</x:v>
      </x:c>
      <x:c r="I19" s="27" t="n">
        <x:v>65</x:v>
      </x:c>
      <x:c r="J19" s="30" t="n">
        <x:v>0.35</x:v>
      </x:c>
      <x:c r="K19" s="30" t="n">
        <x:v>0.65</x:v>
      </x:c>
      <x:c r="L19" s="27" t="n">
        <x:v>41000</x:v>
      </x:c>
      <x:c r="M19" s="27" t="n">
        <x:v>5000</x:v>
      </x:c>
      <x:c r="N19" s="13" t="str">
        <x:f>IF(AND(IF(ISNUMBER(D19),AND(D19&gt;=0,D19&lt;=1000000000000),FALSE),IF(ISNUMBER(E19),AND(E19&gt;=0,E19&lt;=1),FALSE),IF(ISNUMBER(F19),AND(F19&gt;=0,F19&lt;=1000000000000),FALSE),IF(ISNUMBER(G19),AND(G19&gt;=0.1,G19&lt;=365),FALSE),IF(ISNUMBER(H19),AND(H19&gt;=0,H19&lt;=1000000000000),FALSE),IF(ISNUMBER(I19),AND(I19&gt;=0,I19&lt;=1000000000000),FALSE),IF(ISNUMBER(J19),AND(J19&gt;=0,J19&lt;=1),FALSE),IF(ISNUMBER(K19),AND(K19&gt;=0,K19&lt;=1),FALSE),IF(ISNUMBER(L19),AND(L19&gt;=0,L19&lt;=1000000000000),FALSE),IF(ISNUMBER(M19),AND(M19&gt;=0,M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90</x:v>
      </x:c>
      <x:c r="E20" s="30" t="n">
        <x:v>0.76</x:v>
      </x:c>
      <x:c r="F20" s="27" t="n">
        <x:v>102</x:v>
      </x:c>
      <x:c r="G20" s="16" t="n">
        <x:v>14</x:v>
      </x:c>
      <x:c r="H20" s="27" t="n">
        <x:v>11</x:v>
      </x:c>
      <x:c r="I20" s="27" t="n">
        <x:v>65</x:v>
      </x:c>
      <x:c r="J20" s="30" t="n">
        <x:v>0.35</x:v>
      </x:c>
      <x:c r="K20" s="30" t="n">
        <x:v>0.65</x:v>
      </x:c>
      <x:c r="L20" s="27" t="n">
        <x:v>41000</x:v>
      </x:c>
      <x:c r="M20" s="27" t="n">
        <x:v>5000</x:v>
      </x:c>
      <x:c r="N20" s="13" t="str">
        <x:f>IF(AND(IF(ISNUMBER(D20),AND(D20&gt;=0,D20&lt;=1000000000000),FALSE),IF(ISNUMBER(E20),AND(E20&gt;=0,E20&lt;=1),FALSE),IF(ISNUMBER(F20),AND(F20&gt;=0,F20&lt;=1000000000000),FALSE),IF(ISNUMBER(G20),AND(G20&gt;=0.1,G20&lt;=365),FALSE),IF(ISNUMBER(H20),AND(H20&gt;=0,H20&lt;=1000000000000),FALSE),IF(ISNUMBER(I20),AND(I20&gt;=0,I20&lt;=1000000000000),FALSE),IF(ISNUMBER(J20),AND(J20&gt;=0,J20&lt;=1),FALSE),IF(ISNUMBER(K20),AND(K20&gt;=0,K20&lt;=1),FALSE),IF(ISNUMBER(L20),AND(L20&gt;=0,L20&lt;=1000000000000),FALSE),IF(ISNUMBER(M20),AND(M20&gt;=0,M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90</x:v>
      </x:c>
      <x:c r="E21" s="30" t="n">
        <x:v>0.76</x:v>
      </x:c>
      <x:c r="F21" s="27" t="n">
        <x:v>102</x:v>
      </x:c>
      <x:c r="G21" s="16" t="n">
        <x:v>14</x:v>
      </x:c>
      <x:c r="H21" s="27" t="n">
        <x:v>11</x:v>
      </x:c>
      <x:c r="I21" s="27" t="n">
        <x:v>65</x:v>
      </x:c>
      <x:c r="J21" s="30" t="n">
        <x:v>0.35</x:v>
      </x:c>
      <x:c r="K21" s="30" t="n">
        <x:v>0.65</x:v>
      </x:c>
      <x:c r="L21" s="27" t="n">
        <x:v>41000</x:v>
      </x:c>
      <x:c r="M21" s="27" t="n">
        <x:v>5000</x:v>
      </x:c>
      <x:c r="N21" s="13" t="str">
        <x:f>IF(AND(IF(ISNUMBER(D21),AND(D21&gt;=0,D21&lt;=1000000000000),FALSE),IF(ISNUMBER(E21),AND(E21&gt;=0,E21&lt;=1),FALSE),IF(ISNUMBER(F21),AND(F21&gt;=0,F21&lt;=1000000000000),FALSE),IF(ISNUMBER(G21),AND(G21&gt;=0.1,G21&lt;=365),FALSE),IF(ISNUMBER(H21),AND(H21&gt;=0,H21&lt;=1000000000000),FALSE),IF(ISNUMBER(I21),AND(I21&gt;=0,I21&lt;=1000000000000),FALSE),IF(ISNUMBER(J21),AND(J21&gt;=0,J21&lt;=1),FALSE),IF(ISNUMBER(K21),AND(K21&gt;=0,K21&lt;=1),FALSE),IF(ISNUMBER(L21),AND(L21&gt;=0,L21&lt;=1000000000000),FALSE),IF(ISNUMBER(M21),AND(M21&gt;=0,M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20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0.1</x:formula1>
      <x:formula2>365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</x:formula2>
    </x:dataValidation>
    <x:dataValidation type="decimal" operator="between" sqref="K10">
      <x:formula1>0</x:formula1>
      <x:formula2>1</x:formula2>
    </x:dataValidation>
    <x:dataValidation type="decimal" operator="between" sqref="L10">
      <x:formula1>0</x:formula1>
      <x:formula2>1000000000000</x:formula2>
    </x:dataValidation>
    <x:dataValidation type="decimal" operator="between" sqref="M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0.1</x:formula1>
      <x:formula2>365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</x:formula2>
    </x:dataValidation>
    <x:dataValidation type="decimal" operator="between" sqref="K11">
      <x:formula1>0</x:formula1>
      <x:formula2>1</x:formula2>
    </x:dataValidation>
    <x:dataValidation type="decimal" operator="between" sqref="L11">
      <x:formula1>0</x:formula1>
      <x:formula2>1000000000000</x:formula2>
    </x:dataValidation>
    <x:dataValidation type="decimal" operator="between" sqref="M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0.1</x:formula1>
      <x:formula2>365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</x:formula2>
    </x:dataValidation>
    <x:dataValidation type="decimal" operator="between" sqref="K12">
      <x:formula1>0</x:formula1>
      <x:formula2>1</x:formula2>
    </x:dataValidation>
    <x:dataValidation type="decimal" operator="between" sqref="L12">
      <x:formula1>0</x:formula1>
      <x:formula2>1000000000000</x:formula2>
    </x:dataValidation>
    <x:dataValidation type="decimal" operator="between" sqref="M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0.1</x:formula1>
      <x:formula2>365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</x:formula2>
    </x:dataValidation>
    <x:dataValidation type="decimal" operator="between" sqref="K13">
      <x:formula1>0</x:formula1>
      <x:formula2>1</x:formula2>
    </x:dataValidation>
    <x:dataValidation type="decimal" operator="between" sqref="L13">
      <x:formula1>0</x:formula1>
      <x:formula2>1000000000000</x:formula2>
    </x:dataValidation>
    <x:dataValidation type="decimal" operator="between" sqref="M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0.1</x:formula1>
      <x:formula2>365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</x:formula2>
    </x:dataValidation>
    <x:dataValidation type="decimal" operator="between" sqref="K14">
      <x:formula1>0</x:formula1>
      <x:formula2>1</x:formula2>
    </x:dataValidation>
    <x:dataValidation type="decimal" operator="between" sqref="L14">
      <x:formula1>0</x:formula1>
      <x:formula2>1000000000000</x:formula2>
    </x:dataValidation>
    <x:dataValidation type="decimal" operator="between" sqref="M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0.1</x:formula1>
      <x:formula2>365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</x:formula2>
    </x:dataValidation>
    <x:dataValidation type="decimal" operator="between" sqref="K15">
      <x:formula1>0</x:formula1>
      <x:formula2>1</x:formula2>
    </x:dataValidation>
    <x:dataValidation type="decimal" operator="between" sqref="L15">
      <x:formula1>0</x:formula1>
      <x:formula2>1000000000000</x:formula2>
    </x:dataValidation>
    <x:dataValidation type="decimal" operator="between" sqref="M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0.1</x:formula1>
      <x:formula2>365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</x:formula2>
    </x:dataValidation>
    <x:dataValidation type="decimal" operator="between" sqref="K16">
      <x:formula1>0</x:formula1>
      <x:formula2>1</x:formula2>
    </x:dataValidation>
    <x:dataValidation type="decimal" operator="between" sqref="L16">
      <x:formula1>0</x:formula1>
      <x:formula2>1000000000000</x:formula2>
    </x:dataValidation>
    <x:dataValidation type="decimal" operator="between" sqref="M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0.1</x:formula1>
      <x:formula2>365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</x:formula2>
    </x:dataValidation>
    <x:dataValidation type="decimal" operator="between" sqref="K17">
      <x:formula1>0</x:formula1>
      <x:formula2>1</x:formula2>
    </x:dataValidation>
    <x:dataValidation type="decimal" operator="between" sqref="L17">
      <x:formula1>0</x:formula1>
      <x:formula2>1000000000000</x:formula2>
    </x:dataValidation>
    <x:dataValidation type="decimal" operator="between" sqref="M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0.1</x:formula1>
      <x:formula2>365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</x:formula2>
    </x:dataValidation>
    <x:dataValidation type="decimal" operator="between" sqref="K18">
      <x:formula1>0</x:formula1>
      <x:formula2>1</x:formula2>
    </x:dataValidation>
    <x:dataValidation type="decimal" operator="between" sqref="L18">
      <x:formula1>0</x:formula1>
      <x:formula2>1000000000000</x:formula2>
    </x:dataValidation>
    <x:dataValidation type="decimal" operator="between" sqref="M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0.1</x:formula1>
      <x:formula2>365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</x:formula2>
    </x:dataValidation>
    <x:dataValidation type="decimal" operator="between" sqref="K19">
      <x:formula1>0</x:formula1>
      <x:formula2>1</x:formula2>
    </x:dataValidation>
    <x:dataValidation type="decimal" operator="between" sqref="L19">
      <x:formula1>0</x:formula1>
      <x:formula2>1000000000000</x:formula2>
    </x:dataValidation>
    <x:dataValidation type="decimal" operator="between" sqref="M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0.1</x:formula1>
      <x:formula2>365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</x:formula2>
    </x:dataValidation>
    <x:dataValidation type="decimal" operator="between" sqref="K20">
      <x:formula1>0</x:formula1>
      <x:formula2>1</x:formula2>
    </x:dataValidation>
    <x:dataValidation type="decimal" operator="between" sqref="L20">
      <x:formula1>0</x:formula1>
      <x:formula2>1000000000000</x:formula2>
    </x:dataValidation>
    <x:dataValidation type="decimal" operator="between" sqref="M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0.1</x:formula1>
      <x:formula2>365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</x:formula2>
    </x:dataValidation>
    <x:dataValidation type="decimal" operator="between" sqref="K21">
      <x:formula1>0</x:formula1>
      <x:formula2>1</x:formula2>
    </x:dataValidation>
    <x:dataValidation type="decimal" operator="between" sqref="L21">
      <x:formula1>0</x:formula1>
      <x:formula2>1000000000000</x:formula2>
    </x:dataValidation>
    <x:dataValidation type="decimal" operator="between" sqref="M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Occupied room-nights</x:v>
      </x:c>
      <x:c r="D10" s="2" t="str">
        <x:v>nights</x:v>
      </x:c>
      <x:c r="E10" s="49" t="n">
        <x:f>IF(COUNT(G10:R10)=12,SUM(G10:R10),"n.a.")</x:f>
        <x:v>26283.600000000002</x:v>
      </x:c>
      <x:c r="F10" s="2"/>
      <x:c r="G10" s="48" t="n">
        <x:f>IF(AND('Stay Length and Collections'!N10="OK"),IF(AND(ISNUMBER('Stay Length and Collections'!$D$10),ISNUMBER(G$9),ISNUMBER('Stay Length and Collections'!$E$10),ISNUMBER('Assumptions'!$D$61)),'Stay Length and Collections'!$D$10*DAY(EOMONTH(G$9,0))*MIN(1,'Stay Length and Collections'!$E$10*'Assumptions'!$D$61),"n.a."),"n.a.")</x:f>
        <x:v>2120.4</x:v>
      </x:c>
      <x:c r="H10" s="48" t="n">
        <x:f>IF(AND('Stay Length and Collections'!N11="OK"),IF(AND(ISNUMBER('Stay Length and Collections'!$D$11),ISNUMBER(H$9),ISNUMBER('Stay Length and Collections'!$E$11),ISNUMBER('Assumptions'!$D$61)),'Stay Length and Collections'!$D$11*DAY(EOMONTH(H$9,0))*MIN(1,'Stay Length and Collections'!$E$11*'Assumptions'!$D$61),"n.a."),"n.a.")</x:f>
        <x:v>1915.2</x:v>
      </x:c>
      <x:c r="I10" s="48" t="n">
        <x:f>IF(AND('Stay Length and Collections'!N12="OK"),IF(AND(ISNUMBER('Stay Length and Collections'!$D$12),ISNUMBER(I$9),ISNUMBER('Stay Length and Collections'!$E$12),ISNUMBER('Assumptions'!$D$61)),'Stay Length and Collections'!$D$12*DAY(EOMONTH(I$9,0))*MIN(1,'Stay Length and Collections'!$E$12*'Assumptions'!$D$61),"n.a."),"n.a.")</x:f>
        <x:v>2120.4</x:v>
      </x:c>
      <x:c r="J10" s="48" t="n">
        <x:f>IF(AND('Stay Length and Collections'!N13="OK"),IF(AND(ISNUMBER('Stay Length and Collections'!$D$13),ISNUMBER(J$9),ISNUMBER('Stay Length and Collections'!$E$13),ISNUMBER('Assumptions'!$D$61)),'Stay Length and Collections'!$D$13*DAY(EOMONTH(J$9,0))*MIN(1,'Stay Length and Collections'!$E$13*'Assumptions'!$D$61),"n.a."),"n.a.")</x:f>
        <x:v>2268</x:v>
      </x:c>
      <x:c r="K10" s="48" t="n">
        <x:f>IF(AND('Stay Length and Collections'!N14="OK"),IF(AND(ISNUMBER('Stay Length and Collections'!$D$14),ISNUMBER(K$9),ISNUMBER('Stay Length and Collections'!$E$14),ISNUMBER('Assumptions'!$D$61)),'Stay Length and Collections'!$D$14*DAY(EOMONTH(K$9,0))*MIN(1,'Stay Length and Collections'!$E$14*'Assumptions'!$D$61),"n.a."),"n.a.")</x:f>
        <x:v>2343.6</x:v>
      </x:c>
      <x:c r="L10" s="48" t="n">
        <x:f>IF(AND('Stay Length and Collections'!N15="OK"),IF(AND(ISNUMBER('Stay Length and Collections'!$D$15),ISNUMBER(L$9),ISNUMBER('Stay Length and Collections'!$E$15),ISNUMBER('Assumptions'!$D$61)),'Stay Length and Collections'!$D$15*DAY(EOMONTH(L$9,0))*MIN(1,'Stay Length and Collections'!$E$15*'Assumptions'!$D$61),"n.a."),"n.a.")</x:f>
        <x:v>2268</x:v>
      </x:c>
      <x:c r="M10" s="48" t="n">
        <x:f>IF(AND('Stay Length and Collections'!N16="OK"),IF(AND(ISNUMBER('Stay Length and Collections'!$D$16),ISNUMBER(M$9),ISNUMBER('Stay Length and Collections'!$E$16),ISNUMBER('Assumptions'!$D$61)),'Stay Length and Collections'!$D$16*DAY(EOMONTH(M$9,0))*MIN(1,'Stay Length and Collections'!$E$16*'Assumptions'!$D$61),"n.a."),"n.a.")</x:f>
        <x:v>2343.6</x:v>
      </x:c>
      <x:c r="N10" s="48" t="n">
        <x:f>IF(AND('Stay Length and Collections'!N17="OK"),IF(AND(ISNUMBER('Stay Length and Collections'!$D$17),ISNUMBER(N$9),ISNUMBER('Stay Length and Collections'!$E$17),ISNUMBER('Assumptions'!$D$61)),'Stay Length and Collections'!$D$17*DAY(EOMONTH(N$9,0))*MIN(1,'Stay Length and Collections'!$E$17*'Assumptions'!$D$61),"n.a."),"n.a.")</x:f>
        <x:v>2343.6</x:v>
      </x:c>
      <x:c r="O10" s="48" t="n">
        <x:f>IF(AND('Stay Length and Collections'!N18="OK"),IF(AND(ISNUMBER('Stay Length and Collections'!$D$18),ISNUMBER(O$9),ISNUMBER('Stay Length and Collections'!$E$18),ISNUMBER('Assumptions'!$D$61)),'Stay Length and Collections'!$D$18*DAY(EOMONTH(O$9,0))*MIN(1,'Stay Length and Collections'!$E$18*'Assumptions'!$D$61),"n.a."),"n.a.")</x:f>
        <x:v>2268</x:v>
      </x:c>
      <x:c r="P10" s="48" t="n">
        <x:f>IF(AND('Stay Length and Collections'!N19="OK"),IF(AND(ISNUMBER('Stay Length and Collections'!$D$19),ISNUMBER(P$9),ISNUMBER('Stay Length and Collections'!$E$19),ISNUMBER('Assumptions'!$D$61)),'Stay Length and Collections'!$D$19*DAY(EOMONTH(P$9,0))*MIN(1,'Stay Length and Collections'!$E$19*'Assumptions'!$D$61),"n.a."),"n.a.")</x:f>
        <x:v>2120.4</x:v>
      </x:c>
      <x:c r="Q10" s="48" t="n">
        <x:f>IF(AND('Stay Length and Collections'!N20="OK"),IF(AND(ISNUMBER('Stay Length and Collections'!$D$20),ISNUMBER(Q$9),ISNUMBER('Stay Length and Collections'!$E$20),ISNUMBER('Assumptions'!$D$61)),'Stay Length and Collections'!$D$20*DAY(EOMONTH(Q$9,0))*MIN(1,'Stay Length and Collections'!$E$20*'Assumptions'!$D$61),"n.a."),"n.a.")</x:f>
        <x:v>2052</x:v>
      </x:c>
      <x:c r="R10" s="48" t="n">
        <x:f>IF(AND('Stay Length and Collections'!N21="OK"),IF(AND(ISNUMBER('Stay Length and Collections'!$D$21),ISNUMBER(R$9),ISNUMBER('Stay Length and Collections'!$E$21),ISNUMBER('Assumptions'!$D$61)),'Stay Length and Collections'!$D$21*DAY(EOMONTH(R$9,0))*MIN(1,'Stay Length and Collections'!$E$21*'Assumptions'!$D$61),"n.a."),"n.a.")</x:f>
        <x:v>2120.4</x:v>
      </x:c>
    </x:row>
    <x:row r="11" ht="21" customHeight="1">
      <x:c r="A11" s="2"/>
      <x:c r="B11" s="2"/>
      <x:c r="C11" s="2" t="str">
        <x:v>Estimated completed stays for cleaning</x:v>
      </x:c>
      <x:c r="D11" s="2" t="str">
        <x:v>stays</x:v>
      </x:c>
      <x:c r="E11" s="49" t="n">
        <x:f>IF(COUNT(G11:R11)=12,SUM(G11:R11),"n.a.")</x:f>
        <x:v>1877.4</x:v>
      </x:c>
      <x:c r="F11" s="2"/>
      <x:c r="G11" s="48" t="n">
        <x:f>IF(AND('Stay Length and Collections'!N10="OK"),IF(AND(ISNUMBER(G10),ISNUMBER('Stay Length and Collections'!$G$10)),G10/'Stay Length and Collections'!$G$10,"n.a."),"n.a.")</x:f>
        <x:v>151.45714285714286</x:v>
      </x:c>
      <x:c r="H11" s="48" t="n">
        <x:f>IF(AND('Stay Length and Collections'!N11="OK"),IF(AND(ISNUMBER(H10),ISNUMBER('Stay Length and Collections'!$G$11)),H10/'Stay Length and Collections'!$G$11,"n.a."),"n.a.")</x:f>
        <x:v>136.8</x:v>
      </x:c>
      <x:c r="I11" s="48" t="n">
        <x:f>IF(AND('Stay Length and Collections'!N12="OK"),IF(AND(ISNUMBER(I10),ISNUMBER('Stay Length and Collections'!$G$12)),I10/'Stay Length and Collections'!$G$12,"n.a."),"n.a.")</x:f>
        <x:v>151.45714285714286</x:v>
      </x:c>
      <x:c r="J11" s="48" t="n">
        <x:f>IF(AND('Stay Length and Collections'!N13="OK"),IF(AND(ISNUMBER(J10),ISNUMBER('Stay Length and Collections'!$G$13)),J10/'Stay Length and Collections'!$G$13,"n.a."),"n.a.")</x:f>
        <x:v>162</x:v>
      </x:c>
      <x:c r="K11" s="48" t="n">
        <x:f>IF(AND('Stay Length and Collections'!N14="OK"),IF(AND(ISNUMBER(K10),ISNUMBER('Stay Length and Collections'!$G$14)),K10/'Stay Length and Collections'!$G$14,"n.a."),"n.a.")</x:f>
        <x:v>167.4</x:v>
      </x:c>
      <x:c r="L11" s="48" t="n">
        <x:f>IF(AND('Stay Length and Collections'!N15="OK"),IF(AND(ISNUMBER(L10),ISNUMBER('Stay Length and Collections'!$G$15)),L10/'Stay Length and Collections'!$G$15,"n.a."),"n.a.")</x:f>
        <x:v>162</x:v>
      </x:c>
      <x:c r="M11" s="48" t="n">
        <x:f>IF(AND('Stay Length and Collections'!N16="OK"),IF(AND(ISNUMBER(M10),ISNUMBER('Stay Length and Collections'!$G$16)),M10/'Stay Length and Collections'!$G$16,"n.a."),"n.a.")</x:f>
        <x:v>167.4</x:v>
      </x:c>
      <x:c r="N11" s="48" t="n">
        <x:f>IF(AND('Stay Length and Collections'!N17="OK"),IF(AND(ISNUMBER(N10),ISNUMBER('Stay Length and Collections'!$G$17)),N10/'Stay Length and Collections'!$G$17,"n.a."),"n.a.")</x:f>
        <x:v>167.4</x:v>
      </x:c>
      <x:c r="O11" s="48" t="n">
        <x:f>IF(AND('Stay Length and Collections'!N18="OK"),IF(AND(ISNUMBER(O10),ISNUMBER('Stay Length and Collections'!$G$18)),O10/'Stay Length and Collections'!$G$18,"n.a."),"n.a.")</x:f>
        <x:v>162</x:v>
      </x:c>
      <x:c r="P11" s="48" t="n">
        <x:f>IF(AND('Stay Length and Collections'!N19="OK"),IF(AND(ISNUMBER(P10),ISNUMBER('Stay Length and Collections'!$G$19)),P10/'Stay Length and Collections'!$G$19,"n.a."),"n.a.")</x:f>
        <x:v>151.45714285714286</x:v>
      </x:c>
      <x:c r="Q11" s="48" t="n">
        <x:f>IF(AND('Stay Length and Collections'!N20="OK"),IF(AND(ISNUMBER(Q10),ISNUMBER('Stay Length and Collections'!$G$20)),Q10/'Stay Length and Collections'!$G$20,"n.a."),"n.a.")</x:f>
        <x:v>146.57142857142858</x:v>
      </x:c>
      <x:c r="R11" s="48" t="n">
        <x:f>IF(AND('Stay Length and Collections'!N21="OK"),IF(AND(ISNUMBER(R10),ISNUMBER('Stay Length and Collections'!$G$21)),R10/'Stay Length and Collections'!$G$21,"n.a."),"n.a.")</x:f>
        <x:v>151.45714285714286</x:v>
      </x:c>
    </x:row>
    <x:row r="12" ht="21" customHeight="1">
      <x:c r="A12" s="2"/>
      <x:c r="B12" s="2"/>
      <x:c r="C12" s="2" t="str">
        <x:v>Room charges earned, excluding lodging tax</x:v>
      </x:c>
      <x:c r="D12" s="2" t="str">
        <x:v>USD</x:v>
      </x:c>
      <x:c r="E12" s="52" t="n">
        <x:f>IF(COUNT(G12:R12)=12,SUM(G12:R12),"n.a.")</x:f>
        <x:v>2680927.1999999997</x:v>
      </x:c>
      <x:c r="F12" s="2"/>
      <x:c r="G12" s="51" t="n">
        <x:f>IF(AND('Stay Length and Collections'!N10="OK"),IF(AND(ISNUMBER(G10),ISNUMBER('Stay Length and Collections'!$F$10),ISNUMBER('Assumptions'!$D$64)),G10*'Stay Length and Collections'!$F$10*'Assumptions'!$D$64,"n.a."),"n.a.")</x:f>
        <x:v>216280.80000000002</x:v>
      </x:c>
      <x:c r="H12" s="51" t="n">
        <x:f>IF(AND('Stay Length and Collections'!N11="OK"),IF(AND(ISNUMBER(H10),ISNUMBER('Stay Length and Collections'!$F$11),ISNUMBER('Assumptions'!$D$64)),H10*'Stay Length and Collections'!$F$11*'Assumptions'!$D$64,"n.a."),"n.a.")</x:f>
        <x:v>195350.4</x:v>
      </x:c>
      <x:c r="I12" s="51" t="n">
        <x:f>IF(AND('Stay Length and Collections'!N12="OK"),IF(AND(ISNUMBER(I10),ISNUMBER('Stay Length and Collections'!$F$12),ISNUMBER('Assumptions'!$D$64)),I10*'Stay Length and Collections'!$F$12*'Assumptions'!$D$64,"n.a."),"n.a.")</x:f>
        <x:v>216280.80000000002</x:v>
      </x:c>
      <x:c r="J12" s="51" t="n">
        <x:f>IF(AND('Stay Length and Collections'!N13="OK"),IF(AND(ISNUMBER(J10),ISNUMBER('Stay Length and Collections'!$F$13),ISNUMBER('Assumptions'!$D$64)),J10*'Stay Length and Collections'!$F$13*'Assumptions'!$D$64,"n.a."),"n.a.")</x:f>
        <x:v>231336</x:v>
      </x:c>
      <x:c r="K12" s="51" t="n">
        <x:f>IF(AND('Stay Length and Collections'!N14="OK"),IF(AND(ISNUMBER(K10),ISNUMBER('Stay Length and Collections'!$F$14),ISNUMBER('Assumptions'!$D$64)),K10*'Stay Length and Collections'!$F$14*'Assumptions'!$D$64,"n.a."),"n.a.")</x:f>
        <x:v>239047.19999999998</x:v>
      </x:c>
      <x:c r="L12" s="51" t="n">
        <x:f>IF(AND('Stay Length and Collections'!N15="OK"),IF(AND(ISNUMBER(L10),ISNUMBER('Stay Length and Collections'!$F$15),ISNUMBER('Assumptions'!$D$64)),L10*'Stay Length and Collections'!$F$15*'Assumptions'!$D$64,"n.a."),"n.a.")</x:f>
        <x:v>231336</x:v>
      </x:c>
      <x:c r="M12" s="51" t="n">
        <x:f>IF(AND('Stay Length and Collections'!N16="OK"),IF(AND(ISNUMBER(M10),ISNUMBER('Stay Length and Collections'!$F$16),ISNUMBER('Assumptions'!$D$64)),M10*'Stay Length and Collections'!$F$16*'Assumptions'!$D$64,"n.a."),"n.a.")</x:f>
        <x:v>239047.19999999998</x:v>
      </x:c>
      <x:c r="N12" s="51" t="n">
        <x:f>IF(AND('Stay Length and Collections'!N17="OK"),IF(AND(ISNUMBER(N10),ISNUMBER('Stay Length and Collections'!$F$17),ISNUMBER('Assumptions'!$D$64)),N10*'Stay Length and Collections'!$F$17*'Assumptions'!$D$64,"n.a."),"n.a.")</x:f>
        <x:v>239047.19999999998</x:v>
      </x:c>
      <x:c r="O12" s="51" t="n">
        <x:f>IF(AND('Stay Length and Collections'!N18="OK"),IF(AND(ISNUMBER(O10),ISNUMBER('Stay Length and Collections'!$F$18),ISNUMBER('Assumptions'!$D$64)),O10*'Stay Length and Collections'!$F$18*'Assumptions'!$D$64,"n.a."),"n.a.")</x:f>
        <x:v>231336</x:v>
      </x:c>
      <x:c r="P12" s="51" t="n">
        <x:f>IF(AND('Stay Length and Collections'!N19="OK"),IF(AND(ISNUMBER(P10),ISNUMBER('Stay Length and Collections'!$F$19),ISNUMBER('Assumptions'!$D$64)),P10*'Stay Length and Collections'!$F$19*'Assumptions'!$D$64,"n.a."),"n.a.")</x:f>
        <x:v>216280.80000000002</x:v>
      </x:c>
      <x:c r="Q12" s="51" t="n">
        <x:f>IF(AND('Stay Length and Collections'!N20="OK"),IF(AND(ISNUMBER(Q10),ISNUMBER('Stay Length and Collections'!$F$20),ISNUMBER('Assumptions'!$D$64)),Q10*'Stay Length and Collections'!$F$20*'Assumptions'!$D$64,"n.a."),"n.a.")</x:f>
        <x:v>209304</x:v>
      </x:c>
      <x:c r="R12" s="51" t="n">
        <x:f>IF(AND('Stay Length and Collections'!N21="OK"),IF(AND(ISNUMBER(R10),ISNUMBER('Stay Length and Collections'!$F$21),ISNUMBER('Assumptions'!$D$64)),R10*'Stay Length and Collections'!$F$21*'Assumptions'!$D$64,"n.a."),"n.a.")</x:f>
        <x:v>216280.80000000002</x:v>
      </x:c>
    </x:row>
    <x:row r="13" ht="21" customHeight="1">
      <x:c r="A13" s="2"/>
      <x:c r="B13" s="2"/>
      <x:c r="C13" s="2" t="str">
        <x:v>Current corporate room charges billed</x:v>
      </x:c>
      <x:c r="D13" s="2" t="str">
        <x:v>USD</x:v>
      </x:c>
      <x:c r="E13" s="52" t="n">
        <x:f>IF(COUNT(G13:R13)=12,SUM(G13:R13),"n.a.")</x:f>
        <x:v>938324.52</x:v>
      </x:c>
      <x:c r="F13" s="2"/>
      <x:c r="G13" s="51" t="n">
        <x:f>IF(AND('Stay Length and Collections'!N10="OK"),IF(AND(ISNUMBER(G12),ISNUMBER('Stay Length and Collections'!$J$10)),G12*'Stay Length and Collections'!$J$10,"n.a."),"n.a.")</x:f>
        <x:v>75698.28</x:v>
      </x:c>
      <x:c r="H13" s="51" t="n">
        <x:f>IF(AND('Stay Length and Collections'!N11="OK"),IF(AND(ISNUMBER(H12),ISNUMBER('Stay Length and Collections'!$J$11)),H12*'Stay Length and Collections'!$J$11,"n.a."),"n.a.")</x:f>
        <x:v>68372.64</x:v>
      </x:c>
      <x:c r="I13" s="51" t="n">
        <x:f>IF(AND('Stay Length and Collections'!N12="OK"),IF(AND(ISNUMBER(I12),ISNUMBER('Stay Length and Collections'!$J$12)),I12*'Stay Length and Collections'!$J$12,"n.a."),"n.a.")</x:f>
        <x:v>75698.28</x:v>
      </x:c>
      <x:c r="J13" s="51" t="n">
        <x:f>IF(AND('Stay Length and Collections'!N13="OK"),IF(AND(ISNUMBER(J12),ISNUMBER('Stay Length and Collections'!$J$13)),J12*'Stay Length and Collections'!$J$13,"n.a."),"n.a.")</x:f>
        <x:v>80967.59999999999</x:v>
      </x:c>
      <x:c r="K13" s="51" t="n">
        <x:f>IF(AND('Stay Length and Collections'!N14="OK"),IF(AND(ISNUMBER(K12),ISNUMBER('Stay Length and Collections'!$J$14)),K12*'Stay Length and Collections'!$J$14,"n.a."),"n.a.")</x:f>
        <x:v>83666.51999999999</x:v>
      </x:c>
      <x:c r="L13" s="51" t="n">
        <x:f>IF(AND('Stay Length and Collections'!N15="OK"),IF(AND(ISNUMBER(L12),ISNUMBER('Stay Length and Collections'!$J$15)),L12*'Stay Length and Collections'!$J$15,"n.a."),"n.a.")</x:f>
        <x:v>80967.59999999999</x:v>
      </x:c>
      <x:c r="M13" s="51" t="n">
        <x:f>IF(AND('Stay Length and Collections'!N16="OK"),IF(AND(ISNUMBER(M12),ISNUMBER('Stay Length and Collections'!$J$16)),M12*'Stay Length and Collections'!$J$16,"n.a."),"n.a.")</x:f>
        <x:v>83666.51999999999</x:v>
      </x:c>
      <x:c r="N13" s="51" t="n">
        <x:f>IF(AND('Stay Length and Collections'!N17="OK"),IF(AND(ISNUMBER(N12),ISNUMBER('Stay Length and Collections'!$J$17)),N12*'Stay Length and Collections'!$J$17,"n.a."),"n.a.")</x:f>
        <x:v>83666.51999999999</x:v>
      </x:c>
      <x:c r="O13" s="51" t="n">
        <x:f>IF(AND('Stay Length and Collections'!N18="OK"),IF(AND(ISNUMBER(O12),ISNUMBER('Stay Length and Collections'!$J$18)),O12*'Stay Length and Collections'!$J$18,"n.a."),"n.a.")</x:f>
        <x:v>80967.59999999999</x:v>
      </x:c>
      <x:c r="P13" s="51" t="n">
        <x:f>IF(AND('Stay Length and Collections'!N19="OK"),IF(AND(ISNUMBER(P12),ISNUMBER('Stay Length and Collections'!$J$19)),P12*'Stay Length and Collections'!$J$19,"n.a."),"n.a.")</x:f>
        <x:v>75698.28</x:v>
      </x:c>
      <x:c r="Q13" s="51" t="n">
        <x:f>IF(AND('Stay Length and Collections'!N20="OK"),IF(AND(ISNUMBER(Q12),ISNUMBER('Stay Length and Collections'!$J$20)),Q12*'Stay Length and Collections'!$J$20,"n.a."),"n.a.")</x:f>
        <x:v>73256.4</x:v>
      </x:c>
      <x:c r="R13" s="51" t="n">
        <x:f>IF(AND('Stay Length and Collections'!N21="OK"),IF(AND(ISNUMBER(R12),ISNUMBER('Stay Length and Collections'!$J$21)),R12*'Stay Length and Collections'!$J$21,"n.a."),"n.a.")</x:f>
        <x:v>75698.28</x:v>
      </x:c>
    </x:row>
    <x:row r="14" ht="21" customHeight="1">
      <x:c r="A14" s="2"/>
      <x:c r="B14" s="2"/>
      <x:c r="C14" s="2" t="str">
        <x:v>Opening corporate receivable</x:v>
      </x:c>
      <x:c r="D14" s="2" t="str">
        <x:v>USD avg</x:v>
      </x:c>
      <x:c r="E14" s="52" t="n">
        <x:f>IF(COUNT(G14:R14)=12,AVERAGE(G14:R14),"n.a.")</x:f>
        <x:v>38026.02268724554</x:v>
      </x:c>
      <x:c r="F14" s="2"/>
      <x:c r="G14" s="51" t="n">
        <x:f>IF(AND(ISNUMBER('Assumptions'!$D$73)),'Assumptions'!$D$73,"n.a.")</x:f>
        <x:v>50000</x:v>
      </x:c>
      <x:c r="H14" s="51" t="n">
        <x:f>IF(AND(ISNUMBER(G18)),G18,"n.a.")</x:f>
        <x:v>38869.398</x:v>
      </x:c>
      <x:c r="I14" s="51" t="n">
        <x:f>IF(AND(ISNUMBER(H18)),H18,"n.a.")</x:f>
        <x:v>33550.60000499999</x:v>
      </x:c>
      <x:c r="J14" s="51" t="n">
        <x:f>IF(AND(ISNUMBER(I18)),I18,"n.a.")</x:f>
        <x:v>34798.17150123749</x:v>
      </x:c>
      <x:c r="K14" s="51" t="n">
        <x:f>IF(AND(ISNUMBER(J18)),J18,"n.a.")</x:f>
        <x:v>36951.20744655628</x:v>
      </x:c>
      <x:c r="L14" s="51" t="n">
        <x:f>IF(AND(ISNUMBER(K18)),K18,"n.a.")</x:f>
        <x:v>38428.70584302267</x:v>
      </x:c>
      <x:c r="M14" s="51" t="n">
        <x:f>IF(AND(ISNUMBER(L18)),L18,"n.a.")</x:f>
        <x:v>37849.76469614809</x:v>
      </x:c>
      <x:c r="N14" s="51" t="n">
        <x:f>IF(AND(ISNUMBER(M18)),M18,"n.a.")</x:f>
        <x:v>38651.09876229665</x:v>
      </x:c>
      <x:c r="O14" s="51" t="n">
        <x:f>IF(AND(ISNUMBER(N18)),N18,"n.a.")</x:f>
        <x:v>38849.42894366842</x:v>
      </x:c>
      <x:c r="P14" s="51" t="n">
        <x:f>IF(AND(ISNUMBER(O18)),O18,"n.a.")</x:f>
        <x:v>37953.89366355792</x:v>
      </x:c>
      <x:c r="Q14" s="51" t="n">
        <x:f>IF(AND(ISNUMBER(P18)),P18,"n.a.")</x:f>
        <x:v>35887.98668173058</x:v>
      </x:c>
      <x:c r="R14" s="51" t="n">
        <x:f>IF(AND(ISNUMBER(Q18)),Q18,"n.a.")</x:f>
        <x:v>34522.01670372831</x:v>
      </x:c>
    </x:row>
    <x:row r="15" ht="21" customHeight="1">
      <x:c r="A15" s="2"/>
      <x:c r="B15" s="2"/>
      <x:c r="C15" s="2" t="str">
        <x:v>Current corporate cash received</x:v>
      </x:c>
      <x:c r="D15" s="2" t="str">
        <x:v>USD</x:v>
      </x:c>
      <x:c r="E15" s="52" t="n">
        <x:f>IF(COUNT(G15:R15)=12,SUM(G15:R15),"n.a.")</x:f>
        <x:v>609910.938</x:v>
      </x:c>
      <x:c r="F15" s="2"/>
      <x:c r="G15" s="51" t="n">
        <x:f>IF(AND('Stay Length and Collections'!N10="OK"),IF(AND(ISNUMBER(G13),ISNUMBER('Stay Length and Collections'!$K$10)),G13*'Stay Length and Collections'!$K$10,"n.a."),"n.a.")</x:f>
        <x:v>49203.882</x:v>
      </x:c>
      <x:c r="H15" s="51" t="n">
        <x:f>IF(AND('Stay Length and Collections'!N11="OK"),IF(AND(ISNUMBER(H13),ISNUMBER('Stay Length and Collections'!$K$11)),H13*'Stay Length and Collections'!$K$11,"n.a."),"n.a.")</x:f>
        <x:v>44442.216</x:v>
      </x:c>
      <x:c r="I15" s="51" t="n">
        <x:f>IF(AND('Stay Length and Collections'!N12="OK"),IF(AND(ISNUMBER(I13),ISNUMBER('Stay Length and Collections'!$K$12)),I13*'Stay Length and Collections'!$K$12,"n.a."),"n.a.")</x:f>
        <x:v>49203.882</x:v>
      </x:c>
      <x:c r="J15" s="51" t="n">
        <x:f>IF(AND('Stay Length and Collections'!N13="OK"),IF(AND(ISNUMBER(J13),ISNUMBER('Stay Length and Collections'!$K$13)),J13*'Stay Length and Collections'!$K$13,"n.a."),"n.a.")</x:f>
        <x:v>52628.939999999995</x:v>
      </x:c>
      <x:c r="K15" s="51" t="n">
        <x:f>IF(AND('Stay Length and Collections'!N14="OK"),IF(AND(ISNUMBER(K13),ISNUMBER('Stay Length and Collections'!$K$14)),K13*'Stay Length and Collections'!$K$14,"n.a."),"n.a.")</x:f>
        <x:v>54383.238</x:v>
      </x:c>
      <x:c r="L15" s="51" t="n">
        <x:f>IF(AND('Stay Length and Collections'!N15="OK"),IF(AND(ISNUMBER(L13),ISNUMBER('Stay Length and Collections'!$K$15)),L13*'Stay Length and Collections'!$K$15,"n.a."),"n.a.")</x:f>
        <x:v>52628.939999999995</x:v>
      </x:c>
      <x:c r="M15" s="51" t="n">
        <x:f>IF(AND('Stay Length and Collections'!N16="OK"),IF(AND(ISNUMBER(M13),ISNUMBER('Stay Length and Collections'!$K$16)),M13*'Stay Length and Collections'!$K$16,"n.a."),"n.a.")</x:f>
        <x:v>54383.238</x:v>
      </x:c>
      <x:c r="N15" s="51" t="n">
        <x:f>IF(AND('Stay Length and Collections'!N17="OK"),IF(AND(ISNUMBER(N13),ISNUMBER('Stay Length and Collections'!$K$17)),N13*'Stay Length and Collections'!$K$17,"n.a."),"n.a.")</x:f>
        <x:v>54383.238</x:v>
      </x:c>
      <x:c r="O15" s="51" t="n">
        <x:f>IF(AND('Stay Length and Collections'!N18="OK"),IF(AND(ISNUMBER(O13),ISNUMBER('Stay Length and Collections'!$K$18)),O13*'Stay Length and Collections'!$K$18,"n.a."),"n.a.")</x:f>
        <x:v>52628.939999999995</x:v>
      </x:c>
      <x:c r="P15" s="51" t="n">
        <x:f>IF(AND('Stay Length and Collections'!N19="OK"),IF(AND(ISNUMBER(P13),ISNUMBER('Stay Length and Collections'!$K$19)),P13*'Stay Length and Collections'!$K$19,"n.a."),"n.a.")</x:f>
        <x:v>49203.882</x:v>
      </x:c>
      <x:c r="Q15" s="51" t="n">
        <x:f>IF(AND('Stay Length and Collections'!N20="OK"),IF(AND(ISNUMBER(Q13),ISNUMBER('Stay Length and Collections'!$K$20)),Q13*'Stay Length and Collections'!$K$20,"n.a."),"n.a.")</x:f>
        <x:v>47616.659999999996</x:v>
      </x:c>
      <x:c r="R15" s="51" t="n">
        <x:f>IF(AND('Stay Length and Collections'!N21="OK"),IF(AND(ISNUMBER(R13),ISNUMBER('Stay Length and Collections'!$K$21)),R13*'Stay Length and Collections'!$K$21,"n.a."),"n.a.")</x:f>
        <x:v>49203.882</x:v>
      </x:c>
    </x:row>
    <x:row r="16" ht="21" customHeight="1">
      <x:c r="A16" s="2"/>
      <x:c r="B16" s="2"/>
      <x:c r="C16" s="2" t="str">
        <x:v>Prior corporate receivable collected</x:v>
      </x:c>
      <x:c r="D16" s="2" t="str">
        <x:v>USD</x:v>
      </x:c>
      <x:c r="E16" s="52" t="n">
        <x:f>IF(COUNT(G16:R16)=12,SUM(G16:R16),"n.a.")</x:f>
        <x:v>342234.20418520976</x:v>
      </x:c>
      <x:c r="F16" s="2"/>
      <x:c r="G16" s="51" t="n">
        <x:f>IF(AND(ISNUMBER(G14),ISNUMBER('Assumptions'!$D$76)),G14*'Assumptions'!$D$76,"n.a.")</x:f>
        <x:v>37500</x:v>
      </x:c>
      <x:c r="H16" s="51" t="n">
        <x:f>IF(AND(ISNUMBER(H14),ISNUMBER('Assumptions'!$D$76)),H14*'Assumptions'!$D$76,"n.a.")</x:f>
        <x:v>29152.0485</x:v>
      </x:c>
      <x:c r="I16" s="51" t="n">
        <x:f>IF(AND(ISNUMBER(I14),ISNUMBER('Assumptions'!$D$76)),I14*'Assumptions'!$D$76,"n.a.")</x:f>
        <x:v>25162.950003749997</x:v>
      </x:c>
      <x:c r="J16" s="51" t="n">
        <x:f>IF(AND(ISNUMBER(J14),ISNUMBER('Assumptions'!$D$76)),J14*'Assumptions'!$D$76,"n.a.")</x:f>
        <x:v>26098.62862592812</x:v>
      </x:c>
      <x:c r="K16" s="51" t="n">
        <x:f>IF(AND(ISNUMBER(K14),ISNUMBER('Assumptions'!$D$76)),K14*'Assumptions'!$D$76,"n.a.")</x:f>
        <x:v>27713.405584917207</x:v>
      </x:c>
      <x:c r="L16" s="51" t="n">
        <x:f>IF(AND(ISNUMBER(L14),ISNUMBER('Assumptions'!$D$76)),L14*'Assumptions'!$D$76,"n.a.")</x:f>
        <x:v>28821.529382267</x:v>
      </x:c>
      <x:c r="M16" s="51" t="n">
        <x:f>IF(AND(ISNUMBER(M14),ISNUMBER('Assumptions'!$D$76)),M14*'Assumptions'!$D$76,"n.a.")</x:f>
        <x:v>28387.32352211107</x:v>
      </x:c>
      <x:c r="N16" s="51" t="n">
        <x:f>IF(AND(ISNUMBER(N14),ISNUMBER('Assumptions'!$D$76)),N14*'Assumptions'!$D$76,"n.a.")</x:f>
        <x:v>28988.324071722487</x:v>
      </x:c>
      <x:c r="O16" s="51" t="n">
        <x:f>IF(AND(ISNUMBER(O14),ISNUMBER('Assumptions'!$D$76)),O14*'Assumptions'!$D$76,"n.a.")</x:f>
        <x:v>29137.071707751315</x:v>
      </x:c>
      <x:c r="P16" s="51" t="n">
        <x:f>IF(AND(ISNUMBER(P14),ISNUMBER('Assumptions'!$D$76)),P14*'Assumptions'!$D$76,"n.a.")</x:f>
        <x:v>28465.420247668444</x:v>
      </x:c>
      <x:c r="Q16" s="51" t="n">
        <x:f>IF(AND(ISNUMBER(Q14),ISNUMBER('Assumptions'!$D$76)),Q14*'Assumptions'!$D$76,"n.a.")</x:f>
        <x:v>26915.990011297938</x:v>
      </x:c>
      <x:c r="R16" s="51" t="n">
        <x:f>IF(AND(ISNUMBER(R14),ISNUMBER('Assumptions'!$D$76)),R14*'Assumptions'!$D$76,"n.a.")</x:f>
        <x:v>25891.512527796232</x:v>
      </x:c>
    </x:row>
    <x:row r="17" ht="21" customHeight="1">
      <x:c r="A17" s="2"/>
      <x:c r="B17" s="2"/>
      <x:c r="C17" s="2" t="str">
        <x:v>Remaining opening receivable written off</x:v>
      </x:c>
      <x:c r="D17" s="2" t="str">
        <x:v>USD</x:v>
      </x:c>
      <x:c r="E17" s="52" t="n">
        <x:f>IF(COUNT(G17:R17)=12,SUM(G17:R17),"n.a.")</x:f>
        <x:v>1140.780680617366</x:v>
      </x:c>
      <x:c r="F17" s="2"/>
      <x:c r="G17" s="51" t="n">
        <x:f>IF(AND(ISNUMBER(G14),ISNUMBER(G16),ISNUMBER('Assumptions'!$D$79)),(G14-G16)*'Assumptions'!$D$79,"n.a.")</x:f>
        <x:v>125</x:v>
      </x:c>
      <x:c r="H17" s="51" t="n">
        <x:f>IF(AND(ISNUMBER(H14),ISNUMBER(H16),ISNUMBER('Assumptions'!$D$79)),(H14-H16)*'Assumptions'!$D$79,"n.a.")</x:f>
        <x:v>97.173495</x:v>
      </x:c>
      <x:c r="I17" s="51" t="n">
        <x:f>IF(AND(ISNUMBER(I14),ISNUMBER(I16),ISNUMBER('Assumptions'!$D$79)),(I14-I16)*'Assumptions'!$D$79,"n.a.")</x:f>
        <x:v>83.87650001249996</x:v>
      </x:c>
      <x:c r="J17" s="51" t="n">
        <x:f>IF(AND(ISNUMBER(J14),ISNUMBER(J16),ISNUMBER('Assumptions'!$D$79)),(J14-J16)*'Assumptions'!$D$79,"n.a.")</x:f>
        <x:v>86.99542875309373</x:v>
      </x:c>
      <x:c r="K17" s="51" t="n">
        <x:f>IF(AND(ISNUMBER(K14),ISNUMBER(K16),ISNUMBER('Assumptions'!$D$79)),(K14-K16)*'Assumptions'!$D$79,"n.a.")</x:f>
        <x:v>92.37801861639069</x:v>
      </x:c>
      <x:c r="L17" s="51" t="n">
        <x:f>IF(AND(ISNUMBER(L14),ISNUMBER(L16),ISNUMBER('Assumptions'!$D$79)),(L14-L16)*'Assumptions'!$D$79,"n.a.")</x:f>
        <x:v>96.07176460755669</x:v>
      </x:c>
      <x:c r="M17" s="51" t="n">
        <x:f>IF(AND(ISNUMBER(M14),ISNUMBER(M16),ISNUMBER('Assumptions'!$D$79)),(M14-M16)*'Assumptions'!$D$79,"n.a.")</x:f>
        <x:v>94.62441174037023</x:v>
      </x:c>
      <x:c r="N17" s="51" t="n">
        <x:f>IF(AND(ISNUMBER(N14),ISNUMBER(N16),ISNUMBER('Assumptions'!$D$79)),(N14-N16)*'Assumptions'!$D$79,"n.a.")</x:f>
        <x:v>96.62774690574163</x:v>
      </x:c>
      <x:c r="O17" s="51" t="n">
        <x:f>IF(AND(ISNUMBER(O14),ISNUMBER(O16),ISNUMBER('Assumptions'!$D$79)),(O14-O16)*'Assumptions'!$D$79,"n.a.")</x:f>
        <x:v>97.12357235917105</x:v>
      </x:c>
      <x:c r="P17" s="51" t="n">
        <x:f>IF(AND(ISNUMBER(P14),ISNUMBER(P16),ISNUMBER('Assumptions'!$D$79)),(P14-P16)*'Assumptions'!$D$79,"n.a.")</x:f>
        <x:v>94.88473415889479</x:v>
      </x:c>
      <x:c r="Q17" s="51" t="n">
        <x:f>IF(AND(ISNUMBER(Q14),ISNUMBER(Q16),ISNUMBER('Assumptions'!$D$79)),(Q14-Q16)*'Assumptions'!$D$79,"n.a.")</x:f>
        <x:v>89.71996670432644</x:v>
      </x:c>
      <x:c r="R17" s="51" t="n">
        <x:f>IF(AND(ISNUMBER(R14),ISNUMBER(R16),ISNUMBER('Assumptions'!$D$79)),(R14-R16)*'Assumptions'!$D$79,"n.a.")</x:f>
        <x:v>86.30504175932077</x:v>
      </x:c>
    </x:row>
    <x:row r="18" ht="21" customHeight="1">
      <x:c r="A18" s="2"/>
      <x:c r="B18" s="2"/>
      <x:c r="C18" s="2" t="str">
        <x:v>Ending corporate receivable</x:v>
      </x:c>
      <x:c r="D18" s="2" t="str">
        <x:v>USD end</x:v>
      </x:c>
      <x:c r="E18" s="52" t="n">
        <x:f>IF(ISNUMBER(R18),R18,"n.a.")</x:f>
        <x:v>35038.597134172756</x:v>
      </x:c>
      <x:c r="F18" s="2"/>
      <x:c r="G18" s="52" t="n">
        <x:f>IF(AND(ISNUMBER(G14),ISNUMBER(G13),ISNUMBER(G15),ISNUMBER(G16),ISNUMBER(G17)),G14+G13-G15-G16-G17,"n.a.")</x:f>
        <x:v>38869.398</x:v>
      </x:c>
      <x:c r="H18" s="52" t="n">
        <x:f>IF(AND(ISNUMBER(H14),ISNUMBER(H13),ISNUMBER(H15),ISNUMBER(H16),ISNUMBER(H17)),H14+H13-H15-H16-H17,"n.a.")</x:f>
        <x:v>33550.60000499999</x:v>
      </x:c>
      <x:c r="I18" s="52" t="n">
        <x:f>IF(AND(ISNUMBER(I14),ISNUMBER(I13),ISNUMBER(I15),ISNUMBER(I16),ISNUMBER(I17)),I14+I13-I15-I16-I17,"n.a.")</x:f>
        <x:v>34798.17150123749</x:v>
      </x:c>
      <x:c r="J18" s="52" t="n">
        <x:f>IF(AND(ISNUMBER(J14),ISNUMBER(J13),ISNUMBER(J15),ISNUMBER(J16),ISNUMBER(J17)),J14+J13-J15-J16-J17,"n.a.")</x:f>
        <x:v>36951.20744655628</x:v>
      </x:c>
      <x:c r="K18" s="52" t="n">
        <x:f>IF(AND(ISNUMBER(K14),ISNUMBER(K13),ISNUMBER(K15),ISNUMBER(K16),ISNUMBER(K17)),K14+K13-K15-K16-K17,"n.a.")</x:f>
        <x:v>38428.70584302267</x:v>
      </x:c>
      <x:c r="L18" s="52" t="n">
        <x:f>IF(AND(ISNUMBER(L14),ISNUMBER(L13),ISNUMBER(L15),ISNUMBER(L16),ISNUMBER(L17)),L14+L13-L15-L16-L17,"n.a.")</x:f>
        <x:v>37849.76469614809</x:v>
      </x:c>
      <x:c r="M18" s="52" t="n">
        <x:f>IF(AND(ISNUMBER(M14),ISNUMBER(M13),ISNUMBER(M15),ISNUMBER(M16),ISNUMBER(M17)),M14+M13-M15-M16-M17,"n.a.")</x:f>
        <x:v>38651.09876229665</x:v>
      </x:c>
      <x:c r="N18" s="52" t="n">
        <x:f>IF(AND(ISNUMBER(N14),ISNUMBER(N13),ISNUMBER(N15),ISNUMBER(N16),ISNUMBER(N17)),N14+N13-N15-N16-N17,"n.a.")</x:f>
        <x:v>38849.42894366842</x:v>
      </x:c>
      <x:c r="O18" s="52" t="n">
        <x:f>IF(AND(ISNUMBER(O14),ISNUMBER(O13),ISNUMBER(O15),ISNUMBER(O16),ISNUMBER(O17)),O14+O13-O15-O16-O17,"n.a.")</x:f>
        <x:v>37953.89366355792</x:v>
      </x:c>
      <x:c r="P18" s="52" t="n">
        <x:f>IF(AND(ISNUMBER(P14),ISNUMBER(P13),ISNUMBER(P15),ISNUMBER(P16),ISNUMBER(P17)),P14+P13-P15-P16-P17,"n.a.")</x:f>
        <x:v>35887.98668173058</x:v>
      </x:c>
      <x:c r="Q18" s="52" t="n">
        <x:f>IF(AND(ISNUMBER(Q14),ISNUMBER(Q13),ISNUMBER(Q15),ISNUMBER(Q16),ISNUMBER(Q17)),Q14+Q13-Q15-Q16-Q17,"n.a.")</x:f>
        <x:v>34522.01670372831</x:v>
      </x:c>
      <x:c r="R18" s="52" t="n">
        <x:f>IF(AND(ISNUMBER(R14),ISNUMBER(R13),ISNUMBER(R15),ISNUMBER(R16),ISNUMBER(R17)),R14+R13-R15-R16-R17,"n.a.")</x:f>
        <x:v>35038.597134172756</x:v>
      </x:c>
    </x:row>
    <x:row r="19" ht="21" customHeight="1">
      <x:c r="A19" s="2"/>
      <x:c r="B19" s="2"/>
      <x:c r="C19" s="56" t="str">
        <x:v>Guest and corporate cash collected</x:v>
      </x:c>
      <x:c r="D19" s="56" t="str">
        <x:v>USD</x:v>
      </x:c>
      <x:c r="E19" s="57" t="n">
        <x:f>IF(COUNT(G19:R19)=12,SUM(G19:R19),"n.a.")</x:f>
        <x:v>2694747.82218521</x:v>
      </x:c>
      <x:c r="F19" s="56"/>
      <x:c r="G19" s="57" t="n">
        <x:f>IF(AND(ISNUMBER(G12),ISNUMBER(G13),ISNUMBER(G15),ISNUMBER(G16)),G12-G13+G15+G16,"n.a.")</x:f>
        <x:v>227286.402</x:v>
      </x:c>
      <x:c r="H19" s="57" t="n">
        <x:f>IF(AND(ISNUMBER(H12),ISNUMBER(H13),ISNUMBER(H15),ISNUMBER(H16)),H12-H13+H15+H16,"n.a.")</x:f>
        <x:v>200572.0245</x:v>
      </x:c>
      <x:c r="I19" s="57" t="n">
        <x:f>IF(AND(ISNUMBER(I12),ISNUMBER(I13),ISNUMBER(I15),ISNUMBER(I16)),I12-I13+I15+I16,"n.a.")</x:f>
        <x:v>214949.35200374998</x:v>
      </x:c>
      <x:c r="J19" s="57" t="n">
        <x:f>IF(AND(ISNUMBER(J12),ISNUMBER(J13),ISNUMBER(J15),ISNUMBER(J16)),J12-J13+J15+J16,"n.a.")</x:f>
        <x:v>229095.96862592816</x:v>
      </x:c>
      <x:c r="K19" s="57" t="n">
        <x:f>IF(AND(ISNUMBER(K12),ISNUMBER(K13),ISNUMBER(K15),ISNUMBER(K16)),K12-K13+K15+K16,"n.a.")</x:f>
        <x:v>237477.3235849172</x:v>
      </x:c>
      <x:c r="L19" s="57" t="n">
        <x:f>IF(AND(ISNUMBER(L12),ISNUMBER(L13),ISNUMBER(L15),ISNUMBER(L16)),L12-L13+L15+L16,"n.a.")</x:f>
        <x:v>231818.86938226703</x:v>
      </x:c>
      <x:c r="M19" s="57" t="n">
        <x:f>IF(AND(ISNUMBER(M12),ISNUMBER(M13),ISNUMBER(M15),ISNUMBER(M16)),M12-M13+M15+M16,"n.a.")</x:f>
        <x:v>238151.2415221111</x:v>
      </x:c>
      <x:c r="N19" s="57" t="n">
        <x:f>IF(AND(ISNUMBER(N12),ISNUMBER(N13),ISNUMBER(N15),ISNUMBER(N16)),N12-N13+N15+N16,"n.a.")</x:f>
        <x:v>238752.2420717225</x:v>
      </x:c>
      <x:c r="O19" s="57" t="n">
        <x:f>IF(AND(ISNUMBER(O12),ISNUMBER(O13),ISNUMBER(O15),ISNUMBER(O16)),O12-O13+O15+O16,"n.a.")</x:f>
        <x:v>232134.41170775134</x:v>
      </x:c>
      <x:c r="P19" s="57" t="n">
        <x:f>IF(AND(ISNUMBER(P12),ISNUMBER(P13),ISNUMBER(P15),ISNUMBER(P16)),P12-P13+P15+P16,"n.a.")</x:f>
        <x:v>218251.82224766846</x:v>
      </x:c>
      <x:c r="Q19" s="57" t="n">
        <x:f>IF(AND(ISNUMBER(Q12),ISNUMBER(Q13),ISNUMBER(Q15),ISNUMBER(Q16)),Q12-Q13+Q15+Q16,"n.a.")</x:f>
        <x:v>210580.25001129793</x:v>
      </x:c>
      <x:c r="R19" s="57" t="n">
        <x:f>IF(AND(ISNUMBER(R12),ISNUMBER(R13),ISNUMBER(R15),ISNUMBER(R16)),R12-R13+R15+R16,"n.a.")</x:f>
        <x:v>215677.91452779624</x:v>
      </x:c>
    </x:row>
    <x:row r="20" ht="21" customHeight="1">
      <x:c r="A20" s="2"/>
      <x:c r="B20" s="2"/>
      <x:c r="C20" s="2" t="str">
        <x:v>Night services, cleaning, payroll and fees</x:v>
      </x:c>
      <x:c r="D20" s="2" t="str">
        <x:v>USD</x:v>
      </x:c>
      <x:c r="E20" s="52" t="n">
        <x:f>IF(COUNT(G20:R20)=12,SUM(G20:R20),"n.a.")</x:f>
        <x:v>1023792.324</x:v>
      </x:c>
      <x:c r="F20" s="2"/>
      <x:c r="G20" s="51" t="n">
        <x:f>IF(AND('Stay Length and Collections'!N10="OK"),IF(AND(ISNUMBER(G10),ISNUMBER('Stay Length and Collections'!$H$10),ISNUMBER(G11),ISNUMBER('Stay Length and Collections'!$I$10),ISNUMBER('Stay Length and Collections'!$L$10),ISNUMBER(G12),ISNUMBER('Assumptions'!$D$82),ISNUMBER('Assumptions'!$D$67)),(G10*'Stay Length and Collections'!$H$10+G11*'Stay Length and Collections'!$I$10+'Stay Length and Collections'!$L$10+G12*'Assumptions'!$D$82)*'Assumptions'!$D$67,"n.a."),"n.a.")</x:f>
        <x:v>83901.75028571428</x:v>
      </x:c>
      <x:c r="H20" s="51" t="n">
        <x:f>IF(AND('Stay Length and Collections'!N11="OK"),IF(AND(ISNUMBER(H10),ISNUMBER('Stay Length and Collections'!$H$11),ISNUMBER(H11),ISNUMBER('Stay Length and Collections'!$I$11),ISNUMBER('Stay Length and Collections'!$L$11),ISNUMBER(H12),ISNUMBER('Assumptions'!$D$82),ISNUMBER('Assumptions'!$D$67)),(H10*'Stay Length and Collections'!$H$11+H11*'Stay Length and Collections'!$I$11+'Stay Length and Collections'!$L$11+H12*'Assumptions'!$D$82)*'Assumptions'!$D$67,"n.a."),"n.a.")</x:f>
        <x:v>79749.968</x:v>
      </x:c>
      <x:c r="I20" s="51" t="n">
        <x:f>IF(AND('Stay Length and Collections'!N12="OK"),IF(AND(ISNUMBER(I10),ISNUMBER('Stay Length and Collections'!$H$12),ISNUMBER(I11),ISNUMBER('Stay Length and Collections'!$I$12),ISNUMBER('Stay Length and Collections'!$L$12),ISNUMBER(I12),ISNUMBER('Assumptions'!$D$82),ISNUMBER('Assumptions'!$D$67)),(I10*'Stay Length and Collections'!$H$12+I11*'Stay Length and Collections'!$I$12+'Stay Length and Collections'!$L$12+I12*'Assumptions'!$D$82)*'Assumptions'!$D$67,"n.a."),"n.a.")</x:f>
        <x:v>83901.75028571428</x:v>
      </x:c>
      <x:c r="J20" s="51" t="n">
        <x:f>IF(AND('Stay Length and Collections'!N13="OK"),IF(AND(ISNUMBER(J10),ISNUMBER('Stay Length and Collections'!$H$13),ISNUMBER(J11),ISNUMBER('Stay Length and Collections'!$I$13),ISNUMBER('Stay Length and Collections'!$L$13),ISNUMBER(J12),ISNUMBER('Assumptions'!$D$82),ISNUMBER('Assumptions'!$D$67)),(J10*'Stay Length and Collections'!$H$13+J11*'Stay Length and Collections'!$I$13+'Stay Length and Collections'!$L$13+J12*'Assumptions'!$D$82)*'Assumptions'!$D$67,"n.a."),"n.a.")</x:f>
        <x:v>86888.12</x:v>
      </x:c>
      <x:c r="K20" s="51" t="n">
        <x:f>IF(AND('Stay Length and Collections'!N14="OK"),IF(AND(ISNUMBER(K10),ISNUMBER('Stay Length and Collections'!$H$14),ISNUMBER(K11),ISNUMBER('Stay Length and Collections'!$I$14),ISNUMBER('Stay Length and Collections'!$L$14),ISNUMBER(K12),ISNUMBER('Assumptions'!$D$82),ISNUMBER('Assumptions'!$D$67)),(K10*'Stay Length and Collections'!$H$14+K11*'Stay Length and Collections'!$I$14+'Stay Length and Collections'!$L$14+K12*'Assumptions'!$D$82)*'Assumptions'!$D$67,"n.a."),"n.a.")</x:f>
        <x:v>88417.724</x:v>
      </x:c>
      <x:c r="L20" s="51" t="n">
        <x:f>IF(AND('Stay Length and Collections'!N15="OK"),IF(AND(ISNUMBER(L10),ISNUMBER('Stay Length and Collections'!$H$15),ISNUMBER(L11),ISNUMBER('Stay Length and Collections'!$I$15),ISNUMBER('Stay Length and Collections'!$L$15),ISNUMBER(L12),ISNUMBER('Assumptions'!$D$82),ISNUMBER('Assumptions'!$D$67)),(L10*'Stay Length and Collections'!$H$15+L11*'Stay Length and Collections'!$I$15+'Stay Length and Collections'!$L$15+L12*'Assumptions'!$D$82)*'Assumptions'!$D$67,"n.a."),"n.a.")</x:f>
        <x:v>86888.12</x:v>
      </x:c>
      <x:c r="M20" s="51" t="n">
        <x:f>IF(AND('Stay Length and Collections'!N16="OK"),IF(AND(ISNUMBER(M10),ISNUMBER('Stay Length and Collections'!$H$16),ISNUMBER(M11),ISNUMBER('Stay Length and Collections'!$I$16),ISNUMBER('Stay Length and Collections'!$L$16),ISNUMBER(M12),ISNUMBER('Assumptions'!$D$82),ISNUMBER('Assumptions'!$D$67)),(M10*'Stay Length and Collections'!$H$16+M11*'Stay Length and Collections'!$I$16+'Stay Length and Collections'!$L$16+M12*'Assumptions'!$D$82)*'Assumptions'!$D$67,"n.a."),"n.a.")</x:f>
        <x:v>88417.724</x:v>
      </x:c>
      <x:c r="N20" s="51" t="n">
        <x:f>IF(AND('Stay Length and Collections'!N17="OK"),IF(AND(ISNUMBER(N10),ISNUMBER('Stay Length and Collections'!$H$17),ISNUMBER(N11),ISNUMBER('Stay Length and Collections'!$I$17),ISNUMBER('Stay Length and Collections'!$L$17),ISNUMBER(N12),ISNUMBER('Assumptions'!$D$82),ISNUMBER('Assumptions'!$D$67)),(N10*'Stay Length and Collections'!$H$17+N11*'Stay Length and Collections'!$I$17+'Stay Length and Collections'!$L$17+N12*'Assumptions'!$D$82)*'Assumptions'!$D$67,"n.a."),"n.a.")</x:f>
        <x:v>88417.724</x:v>
      </x:c>
      <x:c r="O20" s="51" t="n">
        <x:f>IF(AND('Stay Length and Collections'!N18="OK"),IF(AND(ISNUMBER(O10),ISNUMBER('Stay Length and Collections'!$H$18),ISNUMBER(O11),ISNUMBER('Stay Length and Collections'!$I$18),ISNUMBER('Stay Length and Collections'!$L$18),ISNUMBER(O12),ISNUMBER('Assumptions'!$D$82),ISNUMBER('Assumptions'!$D$67)),(O10*'Stay Length and Collections'!$H$18+O11*'Stay Length and Collections'!$I$18+'Stay Length and Collections'!$L$18+O12*'Assumptions'!$D$82)*'Assumptions'!$D$67,"n.a."),"n.a.")</x:f>
        <x:v>86888.12</x:v>
      </x:c>
      <x:c r="P20" s="51" t="n">
        <x:f>IF(AND('Stay Length and Collections'!N19="OK"),IF(AND(ISNUMBER(P10),ISNUMBER('Stay Length and Collections'!$H$19),ISNUMBER(P11),ISNUMBER('Stay Length and Collections'!$I$19),ISNUMBER('Stay Length and Collections'!$L$19),ISNUMBER(P12),ISNUMBER('Assumptions'!$D$82),ISNUMBER('Assumptions'!$D$67)),(P10*'Stay Length and Collections'!$H$19+P11*'Stay Length and Collections'!$I$19+'Stay Length and Collections'!$L$19+P12*'Assumptions'!$D$82)*'Assumptions'!$D$67,"n.a."),"n.a.")</x:f>
        <x:v>83901.75028571428</x:v>
      </x:c>
      <x:c r="Q20" s="51" t="n">
        <x:f>IF(AND('Stay Length and Collections'!N20="OK"),IF(AND(ISNUMBER(Q10),ISNUMBER('Stay Length and Collections'!$H$20),ISNUMBER(Q11),ISNUMBER('Stay Length and Collections'!$I$20),ISNUMBER('Stay Length and Collections'!$L$20),ISNUMBER(Q12),ISNUMBER('Assumptions'!$D$82),ISNUMBER('Assumptions'!$D$67)),(Q10*'Stay Length and Collections'!$H$20+Q11*'Stay Length and Collections'!$I$20+'Stay Length and Collections'!$L$20+Q12*'Assumptions'!$D$82)*'Assumptions'!$D$67,"n.a."),"n.a.")</x:f>
        <x:v>82517.82285714286</x:v>
      </x:c>
      <x:c r="R20" s="51" t="n">
        <x:f>IF(AND('Stay Length and Collections'!N21="OK"),IF(AND(ISNUMBER(R10),ISNUMBER('Stay Length and Collections'!$H$21),ISNUMBER(R11),ISNUMBER('Stay Length and Collections'!$I$21),ISNUMBER('Stay Length and Collections'!$L$21),ISNUMBER(R12),ISNUMBER('Assumptions'!$D$82),ISNUMBER('Assumptions'!$D$67)),(R10*'Stay Length and Collections'!$H$21+R11*'Stay Length and Collections'!$I$21+'Stay Length and Collections'!$L$21+R12*'Assumptions'!$D$82)*'Assumptions'!$D$67,"n.a."),"n.a.")</x:f>
        <x:v>83901.75028571428</x:v>
      </x:c>
    </x:row>
    <x:row r="21" ht="21" customHeight="1">
      <x:c r="A21" s="2"/>
      <x:c r="B21" s="2"/>
      <x:c r="C21" s="2" t="str">
        <x:v>Room and property capital cash</x:v>
      </x:c>
      <x:c r="D21" s="2" t="str">
        <x:v>USD</x:v>
      </x:c>
      <x:c r="E21" s="52" t="n">
        <x:f>IF(COUNT(G21:R21)=12,SUM(G21:R21),"n.a.")</x:f>
        <x:v>235000</x:v>
      </x:c>
      <x:c r="F21" s="2"/>
      <x:c r="G21" s="51" t="n">
        <x:f>IF(AND('Stay Length and Collections'!N10="OK"),IF(AND(ISNUMBER('Stay Length and Collections'!$M$10),ISNUMBER('Assumptions'!$D$70)),'Stay Length and Collections'!$M$10*'Assumptions'!$D$70,"n.a."),"n.a.")</x:f>
        <x:v>5000</x:v>
      </x:c>
      <x:c r="H21" s="51" t="n">
        <x:f>IF(AND('Stay Length and Collections'!N11="OK"),IF(AND(ISNUMBER('Stay Length and Collections'!$M$11),ISNUMBER('Assumptions'!$D$70)),'Stay Length and Collections'!$M$11*'Assumptions'!$D$70,"n.a."),"n.a.")</x:f>
        <x:v>5000</x:v>
      </x:c>
      <x:c r="I21" s="51" t="n">
        <x:f>IF(AND('Stay Length and Collections'!N12="OK"),IF(AND(ISNUMBER('Stay Length and Collections'!$M$12),ISNUMBER('Assumptions'!$D$70)),'Stay Length and Collections'!$M$12*'Assumptions'!$D$70,"n.a."),"n.a.")</x:f>
        <x:v>5000</x:v>
      </x:c>
      <x:c r="J21" s="51" t="n">
        <x:f>IF(AND('Stay Length and Collections'!N13="OK"),IF(AND(ISNUMBER('Stay Length and Collections'!$M$13),ISNUMBER('Assumptions'!$D$70)),'Stay Length and Collections'!$M$13*'Assumptions'!$D$70,"n.a."),"n.a.")</x:f>
        <x:v>5000</x:v>
      </x:c>
      <x:c r="K21" s="51" t="n">
        <x:f>IF(AND('Stay Length and Collections'!N14="OK"),IF(AND(ISNUMBER('Stay Length and Collections'!$M$14),ISNUMBER('Assumptions'!$D$70)),'Stay Length and Collections'!$M$14*'Assumptions'!$D$70,"n.a."),"n.a.")</x:f>
        <x:v>5000</x:v>
      </x:c>
      <x:c r="L21" s="51" t="n">
        <x:f>IF(AND('Stay Length and Collections'!N15="OK"),IF(AND(ISNUMBER('Stay Length and Collections'!$M$15),ISNUMBER('Assumptions'!$D$70)),'Stay Length and Collections'!$M$15*'Assumptions'!$D$70,"n.a."),"n.a.")</x:f>
        <x:v>5000</x:v>
      </x:c>
      <x:c r="M21" s="51" t="n">
        <x:f>IF(AND('Stay Length and Collections'!N16="OK"),IF(AND(ISNUMBER('Stay Length and Collections'!$M$16),ISNUMBER('Assumptions'!$D$70)),'Stay Length and Collections'!$M$16*'Assumptions'!$D$70,"n.a."),"n.a.")</x:f>
        <x:v>5000</x:v>
      </x:c>
      <x:c r="N21" s="51" t="n">
        <x:f>IF(AND('Stay Length and Collections'!N17="OK"),IF(AND(ISNUMBER('Stay Length and Collections'!$M$17),ISNUMBER('Assumptions'!$D$70)),'Stay Length and Collections'!$M$17*'Assumptions'!$D$70,"n.a."),"n.a.")</x:f>
        <x:v>5000</x:v>
      </x:c>
      <x:c r="O21" s="51" t="n">
        <x:f>IF(AND('Stay Length and Collections'!N18="OK"),IF(AND(ISNUMBER('Stay Length and Collections'!$M$18),ISNUMBER('Assumptions'!$D$70)),'Stay Length and Collections'!$M$18*'Assumptions'!$D$70,"n.a."),"n.a.")</x:f>
        <x:v>180000</x:v>
      </x:c>
      <x:c r="P21" s="51" t="n">
        <x:f>IF(AND('Stay Length and Collections'!N19="OK"),IF(AND(ISNUMBER('Stay Length and Collections'!$M$19),ISNUMBER('Assumptions'!$D$70)),'Stay Length and Collections'!$M$19*'Assumptions'!$D$70,"n.a."),"n.a.")</x:f>
        <x:v>5000</x:v>
      </x:c>
      <x:c r="Q21" s="51" t="n">
        <x:f>IF(AND('Stay Length and Collections'!N20="OK"),IF(AND(ISNUMBER('Stay Length and Collections'!$M$20),ISNUMBER('Assumptions'!$D$70)),'Stay Length and Collections'!$M$20*'Assumptions'!$D$70,"n.a."),"n.a.")</x:f>
        <x:v>5000</x:v>
      </x:c>
      <x:c r="R21" s="51" t="n">
        <x:f>IF(AND('Stay Length and Collections'!N21="OK"),IF(AND(ISNUMBER('Stay Length and Collections'!$M$21),ISNUMBER('Assumptions'!$D$70)),'Stay Length and Collections'!$M$21*'Assumptions'!$D$70,"n.a."),"n.a.")</x:f>
        <x:v>5000</x:v>
      </x:c>
    </x:row>
    <x:row r="22" ht="21" customHeight="1">
      <x:c r="A22" s="2"/>
      <x:c r="B22" s="2"/>
      <x:c r="C22" s="2" t="str">
        <x:v>Fixed property / entity costs</x:v>
      </x:c>
      <x:c r="D22" s="2" t="str">
        <x:v>USD</x:v>
      </x:c>
      <x:c r="E22" s="52" t="n">
        <x:f>IF(COUNT(G22:R22)=12,SUM(G22:R22),"n.a.")</x:f>
        <x:v>300000</x:v>
      </x:c>
      <x:c r="F22" s="2"/>
      <x:c r="G22" s="51" t="n">
        <x:f>IF(AND(ISNUMBER('Assumptions'!$D$55)),'Assumptions'!$D$55/12,"n.a.")</x:f>
        <x:v>25000</x:v>
      </x:c>
      <x:c r="H22" s="51" t="n">
        <x:f>IF(AND(ISNUMBER('Assumptions'!$D$55)),'Assumptions'!$D$55/12,"n.a.")</x:f>
        <x:v>25000</x:v>
      </x:c>
      <x:c r="I22" s="51" t="n">
        <x:f>IF(AND(ISNUMBER('Assumptions'!$D$55)),'Assumptions'!$D$55/12,"n.a.")</x:f>
        <x:v>25000</x:v>
      </x:c>
      <x:c r="J22" s="51" t="n">
        <x:f>IF(AND(ISNUMBER('Assumptions'!$D$55)),'Assumptions'!$D$55/12,"n.a.")</x:f>
        <x:v>25000</x:v>
      </x:c>
      <x:c r="K22" s="51" t="n">
        <x:f>IF(AND(ISNUMBER('Assumptions'!$D$55)),'Assumptions'!$D$55/12,"n.a.")</x:f>
        <x:v>25000</x:v>
      </x:c>
      <x:c r="L22" s="51" t="n">
        <x:f>IF(AND(ISNUMBER('Assumptions'!$D$55)),'Assumptions'!$D$55/12,"n.a.")</x:f>
        <x:v>25000</x:v>
      </x:c>
      <x:c r="M22" s="51" t="n">
        <x:f>IF(AND(ISNUMBER('Assumptions'!$D$55)),'Assumptions'!$D$55/12,"n.a.")</x:f>
        <x:v>25000</x:v>
      </x:c>
      <x:c r="N22" s="51" t="n">
        <x:f>IF(AND(ISNUMBER('Assumptions'!$D$55)),'Assumptions'!$D$55/12,"n.a.")</x:f>
        <x:v>25000</x:v>
      </x:c>
      <x:c r="O22" s="51" t="n">
        <x:f>IF(AND(ISNUMBER('Assumptions'!$D$55)),'Assumptions'!$D$55/12,"n.a.")</x:f>
        <x:v>25000</x:v>
      </x:c>
      <x:c r="P22" s="51" t="n">
        <x:f>IF(AND(ISNUMBER('Assumptions'!$D$55)),'Assumptions'!$D$55/12,"n.a.")</x:f>
        <x:v>25000</x:v>
      </x:c>
      <x:c r="Q22" s="51" t="n">
        <x:f>IF(AND(ISNUMBER('Assumptions'!$D$55)),'Assumptions'!$D$55/12,"n.a.")</x:f>
        <x:v>25000</x:v>
      </x:c>
      <x:c r="R22" s="51" t="n">
        <x:f>IF(AND(ISNUMBER('Assumptions'!$D$55)),'Assumptions'!$D$55/12,"n.a.")</x:f>
        <x:v>25000</x:v>
      </x:c>
    </x:row>
    <x:row r="23" ht="21" customHeight="1">
      <x:c r="A23" s="2"/>
      <x:c r="B23" s="2"/>
      <x:c r="C23" s="56" t="str">
        <x:v>Total cash operating costs</x:v>
      </x:c>
      <x:c r="D23" s="56" t="str">
        <x:v>USD</x:v>
      </x:c>
      <x:c r="E23" s="57" t="n">
        <x:f>IF(COUNT(G23:R23)=12,SUM(G23:R23),"n.a.")</x:f>
        <x:v>1323792.324</x:v>
      </x:c>
      <x:c r="F23" s="56"/>
      <x:c r="G23" s="57" t="n">
        <x:f>IF(AND(ISNUMBER(G20),ISNUMBER(G22)),G20+G22,"n.a.")</x:f>
        <x:v>108901.75028571428</x:v>
      </x:c>
      <x:c r="H23" s="57" t="n">
        <x:f>IF(AND(ISNUMBER(H20),ISNUMBER(H22)),H20+H22,"n.a.")</x:f>
        <x:v>104749.968</x:v>
      </x:c>
      <x:c r="I23" s="57" t="n">
        <x:f>IF(AND(ISNUMBER(I20),ISNUMBER(I22)),I20+I22,"n.a.")</x:f>
        <x:v>108901.75028571428</x:v>
      </x:c>
      <x:c r="J23" s="57" t="n">
        <x:f>IF(AND(ISNUMBER(J20),ISNUMBER(J22)),J20+J22,"n.a.")</x:f>
        <x:v>111888.12</x:v>
      </x:c>
      <x:c r="K23" s="57" t="n">
        <x:f>IF(AND(ISNUMBER(K20),ISNUMBER(K22)),K20+K22,"n.a.")</x:f>
        <x:v>113417.724</x:v>
      </x:c>
      <x:c r="L23" s="57" t="n">
        <x:f>IF(AND(ISNUMBER(L20),ISNUMBER(L22)),L20+L22,"n.a.")</x:f>
        <x:v>111888.12</x:v>
      </x:c>
      <x:c r="M23" s="57" t="n">
        <x:f>IF(AND(ISNUMBER(M20),ISNUMBER(M22)),M20+M22,"n.a.")</x:f>
        <x:v>113417.724</x:v>
      </x:c>
      <x:c r="N23" s="57" t="n">
        <x:f>IF(AND(ISNUMBER(N20),ISNUMBER(N22)),N20+N22,"n.a.")</x:f>
        <x:v>113417.724</x:v>
      </x:c>
      <x:c r="O23" s="57" t="n">
        <x:f>IF(AND(ISNUMBER(O20),ISNUMBER(O22)),O20+O22,"n.a.")</x:f>
        <x:v>111888.12</x:v>
      </x:c>
      <x:c r="P23" s="57" t="n">
        <x:f>IF(AND(ISNUMBER(P20),ISNUMBER(P22)),P20+P22,"n.a.")</x:f>
        <x:v>108901.75028571428</x:v>
      </x:c>
      <x:c r="Q23" s="57" t="n">
        <x:f>IF(AND(ISNUMBER(Q20),ISNUMBER(Q22)),Q20+Q22,"n.a.")</x:f>
        <x:v>107517.82285714286</x:v>
      </x:c>
      <x:c r="R23" s="57" t="n">
        <x:f>IF(AND(ISNUMBER(R20),ISNUMBER(R22)),R20+R22,"n.a.")</x:f>
        <x:v>108901.75028571428</x:v>
      </x:c>
    </x:row>
    <x:row r="24" ht="21" customHeight="1">
      <x:c r="A24" s="2"/>
      <x:c r="B24" s="2"/>
      <x:c r="C24" s="56" t="str">
        <x:v>NOI / operating cash before reserves</x:v>
      </x:c>
      <x:c r="D24" s="56" t="str">
        <x:v>USD</x:v>
      </x:c>
      <x:c r="E24" s="57" t="n">
        <x:f>IF(COUNT(G24:R24)=12,SUM(G24:R24),"n.a.")</x:f>
        <x:v>1370955.49818521</x:v>
      </x:c>
      <x:c r="F24" s="56"/>
      <x:c r="G24" s="57" t="n">
        <x:f>IF(AND(ISNUMBER(G19),ISNUMBER(G23)),G19-G23,"n.a.")</x:f>
        <x:v>118384.65171428572</x:v>
      </x:c>
      <x:c r="H24" s="57" t="n">
        <x:f>IF(AND(ISNUMBER(H19),ISNUMBER(H23)),H19-H23,"n.a.")</x:f>
        <x:v>95822.0565</x:v>
      </x:c>
      <x:c r="I24" s="57" t="n">
        <x:f>IF(AND(ISNUMBER(I19),ISNUMBER(I23)),I19-I23,"n.a.")</x:f>
        <x:v>106047.6017180357</x:v>
      </x:c>
      <x:c r="J24" s="57" t="n">
        <x:f>IF(AND(ISNUMBER(J19),ISNUMBER(J23)),J19-J23,"n.a.")</x:f>
        <x:v>117207.84862592816</x:v>
      </x:c>
      <x:c r="K24" s="57" t="n">
        <x:f>IF(AND(ISNUMBER(K19),ISNUMBER(K23)),K19-K23,"n.a.")</x:f>
        <x:v>124059.5995849172</x:v>
      </x:c>
      <x:c r="L24" s="57" t="n">
        <x:f>IF(AND(ISNUMBER(L19),ISNUMBER(L23)),L19-L23,"n.a.")</x:f>
        <x:v>119930.74938226704</x:v>
      </x:c>
      <x:c r="M24" s="57" t="n">
        <x:f>IF(AND(ISNUMBER(M19),ISNUMBER(M23)),M19-M23,"n.a.")</x:f>
        <x:v>124733.51752211108</x:v>
      </x:c>
      <x:c r="N24" s="57" t="n">
        <x:f>IF(AND(ISNUMBER(N19),ISNUMBER(N23)),N19-N23,"n.a.")</x:f>
        <x:v>125334.51807172249</x:v>
      </x:c>
      <x:c r="O24" s="57" t="n">
        <x:f>IF(AND(ISNUMBER(O19),ISNUMBER(O23)),O19-O23,"n.a.")</x:f>
        <x:v>120246.29170775134</x:v>
      </x:c>
      <x:c r="P24" s="57" t="n">
        <x:f>IF(AND(ISNUMBER(P19),ISNUMBER(P23)),P19-P23,"n.a.")</x:f>
        <x:v>109350.07196195418</x:v>
      </x:c>
      <x:c r="Q24" s="57" t="n">
        <x:f>IF(AND(ISNUMBER(Q19),ISNUMBER(Q23)),Q19-Q23,"n.a.")</x:f>
        <x:v>103062.42715415507</x:v>
      </x:c>
      <x:c r="R24" s="57" t="n">
        <x:f>IF(AND(ISNUMBER(R19),ISNUMBER(R23)),R19-R23,"n.a.")</x:f>
        <x:v>106776.16424208196</x:v>
      </x:c>
    </x:row>
    <x:row r="25" ht="21" customHeight="1">
      <x:c r="A25" s="2"/>
      <x:c r="B25" s="2"/>
      <x:c r="C25" s="2" t="str">
        <x:v>Cash replacement reserve deposits</x:v>
      </x:c>
      <x:c r="D25" s="2" t="str">
        <x:v>USD</x:v>
      </x:c>
      <x:c r="E25" s="52" t="n">
        <x:f>IF(COUNT(G25:R25)=12,SUM(G25:R25),"n.a.")</x:f>
        <x:v>107789.91288740841</x:v>
      </x:c>
      <x:c r="F25" s="2"/>
      <x:c r="G25" s="51" t="n">
        <x:f>IF(AND(ISNUMBER(G19),ISNUMBER('Assumptions'!$D$58)),MAX(0,G19)*'Assumptions'!$D$58,"n.a.")</x:f>
        <x:v>9091.45608</x:v>
      </x:c>
      <x:c r="H25" s="51" t="n">
        <x:f>IF(AND(ISNUMBER(H19),ISNUMBER('Assumptions'!$D$58)),MAX(0,H19)*'Assumptions'!$D$58,"n.a.")</x:f>
        <x:v>8022.88098</x:v>
      </x:c>
      <x:c r="I25" s="51" t="n">
        <x:f>IF(AND(ISNUMBER(I19),ISNUMBER('Assumptions'!$D$58)),MAX(0,I19)*'Assumptions'!$D$58,"n.a.")</x:f>
        <x:v>8597.97408015</x:v>
      </x:c>
      <x:c r="J25" s="51" t="n">
        <x:f>IF(AND(ISNUMBER(J19),ISNUMBER('Assumptions'!$D$58)),MAX(0,J19)*'Assumptions'!$D$58,"n.a.")</x:f>
        <x:v>9163.838745037127</x:v>
      </x:c>
      <x:c r="K25" s="51" t="n">
        <x:f>IF(AND(ISNUMBER(K19),ISNUMBER('Assumptions'!$D$58)),MAX(0,K19)*'Assumptions'!$D$58,"n.a.")</x:f>
        <x:v>9499.092943396688</x:v>
      </x:c>
      <x:c r="L25" s="51" t="n">
        <x:f>IF(AND(ISNUMBER(L19),ISNUMBER('Assumptions'!$D$58)),MAX(0,L19)*'Assumptions'!$D$58,"n.a.")</x:f>
        <x:v>9272.754775290681</x:v>
      </x:c>
      <x:c r="M25" s="51" t="n">
        <x:f>IF(AND(ISNUMBER(M19),ISNUMBER('Assumptions'!$D$58)),MAX(0,M19)*'Assumptions'!$D$58,"n.a.")</x:f>
        <x:v>9526.049660884444</x:v>
      </x:c>
      <x:c r="N25" s="51" t="n">
        <x:f>IF(AND(ISNUMBER(N19),ISNUMBER('Assumptions'!$D$58)),MAX(0,N19)*'Assumptions'!$D$58,"n.a.")</x:f>
        <x:v>9550.0896828689</x:v>
      </x:c>
      <x:c r="O25" s="51" t="n">
        <x:f>IF(AND(ISNUMBER(O19),ISNUMBER('Assumptions'!$D$58)),MAX(0,O19)*'Assumptions'!$D$58,"n.a.")</x:f>
        <x:v>9285.376468310054</x:v>
      </x:c>
      <x:c r="P25" s="51" t="n">
        <x:f>IF(AND(ISNUMBER(P19),ISNUMBER('Assumptions'!$D$58)),MAX(0,P19)*'Assumptions'!$D$58,"n.a.")</x:f>
        <x:v>8730.072889906738</x:v>
      </x:c>
      <x:c r="Q25" s="51" t="n">
        <x:f>IF(AND(ISNUMBER(Q19),ISNUMBER('Assumptions'!$D$58)),MAX(0,Q19)*'Assumptions'!$D$58,"n.a.")</x:f>
        <x:v>8423.210000451918</x:v>
      </x:c>
      <x:c r="R25" s="51" t="n">
        <x:f>IF(AND(ISNUMBER(R19),ISNUMBER('Assumptions'!$D$58)),MAX(0,R19)*'Assumptions'!$D$58,"n.a.")</x:f>
        <x:v>8627.11658111185</x:v>
      </x:c>
    </x:row>
    <x:row r="26" ht="21" customHeight="1">
      <x:c r="A26" s="2"/>
      <x:c r="B26" s="2"/>
      <x:c r="C26" s="56" t="str">
        <x:v>Cash NCF before property debt / capital</x:v>
      </x:c>
      <x:c r="D26" s="56" t="str">
        <x:v>USD</x:v>
      </x:c>
      <x:c r="E26" s="57" t="n">
        <x:f>IF(COUNT(G26:R26)=12,SUM(G26:R26),"n.a.")</x:f>
        <x:v>1263165.5852978015</x:v>
      </x:c>
      <x:c r="F26" s="56"/>
      <x:c r="G26" s="57" t="n">
        <x:f>IF(AND(ISNUMBER(G24),ISNUMBER(G25)),G24-G25,"n.a.")</x:f>
        <x:v>109293.19563428572</x:v>
      </x:c>
      <x:c r="H26" s="57" t="n">
        <x:f>IF(AND(ISNUMBER(H24),ISNUMBER(H25)),H24-H25,"n.a.")</x:f>
        <x:v>87799.17552</x:v>
      </x:c>
      <x:c r="I26" s="57" t="n">
        <x:f>IF(AND(ISNUMBER(I24),ISNUMBER(I25)),I24-I25,"n.a.")</x:f>
        <x:v>97449.6276378857</x:v>
      </x:c>
      <x:c r="J26" s="57" t="n">
        <x:f>IF(AND(ISNUMBER(J24),ISNUMBER(J25)),J24-J25,"n.a.")</x:f>
        <x:v>108044.00988089104</x:v>
      </x:c>
      <x:c r="K26" s="57" t="n">
        <x:f>IF(AND(ISNUMBER(K24),ISNUMBER(K25)),K24-K25,"n.a.")</x:f>
        <x:v>114560.50664152051</x:v>
      </x:c>
      <x:c r="L26" s="57" t="n">
        <x:f>IF(AND(ISNUMBER(L24),ISNUMBER(L25)),L24-L25,"n.a.")</x:f>
        <x:v>110657.99460697635</x:v>
      </x:c>
      <x:c r="M26" s="57" t="n">
        <x:f>IF(AND(ISNUMBER(M24),ISNUMBER(M25)),M24-M25,"n.a.")</x:f>
        <x:v>115207.46786122664</x:v>
      </x:c>
      <x:c r="N26" s="57" t="n">
        <x:f>IF(AND(ISNUMBER(N24),ISNUMBER(N25)),N24-N25,"n.a.")</x:f>
        <x:v>115784.42838885359</x:v>
      </x:c>
      <x:c r="O26" s="57" t="n">
        <x:f>IF(AND(ISNUMBER(O24),ISNUMBER(O25)),O24-O25,"n.a.")</x:f>
        <x:v>110960.91523944128</x:v>
      </x:c>
      <x:c r="P26" s="57" t="n">
        <x:f>IF(AND(ISNUMBER(P24),ISNUMBER(P25)),P24-P25,"n.a.")</x:f>
        <x:v>100619.99907204745</x:v>
      </x:c>
      <x:c r="Q26" s="57" t="n">
        <x:f>IF(AND(ISNUMBER(Q24),ISNUMBER(Q25)),Q24-Q25,"n.a.")</x:f>
        <x:v>94639.21715370315</x:v>
      </x:c>
      <x:c r="R26" s="57" t="n">
        <x:f>IF(AND(ISNUMBER(R24),ISNUMBER(R25)),R24-R25,"n.a.")</x:f>
        <x:v>98149.0476609701</x:v>
      </x:c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IF(AND(ISNUMBER('Operations'!E26),ISNUMBER('Assumptions'!$D$52)),'Operations'!E26+'Assumptions'!$D$52,"n.a.")</x:f>
        <x:v>1263165.5852978015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9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12471881.792808177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9425000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14035173.169975573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9000000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60768.64452128775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14000000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5000000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1500000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8248448.745633448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0" t="n">
        <x:f>IF(AND(ISNUMBER(D14)),D14,"n.a.")</x:f>
        <x:v>9000000</x:v>
      </x:c>
      <x:c r="H29" s="60" t="n">
        <x:f>IF(AND(ISNUMBER(G33)),G33,"n.a.")</x:f>
        <x:v>9000000</x:v>
      </x:c>
      <x:c r="I29" s="60" t="n">
        <x:f>IF(AND(ISNUMBER(H33)),H33,"n.a.")</x:f>
        <x:v>9000000</x:v>
      </x:c>
      <x:c r="J29" s="60" t="n">
        <x:f>IF(AND(ISNUMBER(I33)),I33,"n.a.")</x:f>
        <x:v>9000000</x:v>
      </x:c>
      <x:c r="K29" s="60" t="n">
        <x:f>IF(AND(ISNUMBER(J33)),J33,"n.a.")</x:f>
        <x:v>9000000</x:v>
      </x:c>
      <x:c r="L29" s="60" t="n">
        <x:f>IF(AND(ISNUMBER(K33)),K33,"n.a.")</x:f>
        <x:v>9000000</x:v>
      </x:c>
      <x:c r="M29" s="60" t="n">
        <x:f>IF(AND(ISNUMBER(L33)),L33,"n.a.")</x:f>
        <x:v>9000000</x:v>
      </x:c>
      <x:c r="N29" s="60" t="n">
        <x:f>IF(AND(ISNUMBER(M33)),M33,"n.a.")</x:f>
        <x:v>8987981.355478711</x:v>
      </x:c>
      <x:c r="O29" s="60" t="n">
        <x:f>IF(AND(ISNUMBER(N33)),N33,"n.a.")</x:f>
        <x:v>8975897.609966267</x:v>
      </x:c>
      <x:c r="P29" s="60" t="n">
        <x:f>IF(AND(ISNUMBER(O33)),O33,"n.a.")</x:f>
        <x:v>8963748.410832297</x:v>
      </x:c>
      <x:c r="Q29" s="60" t="n">
        <x:f>IF(AND(ISNUMBER(P33)),P33,"n.a.")</x:f>
        <x:v>8951533.403536351</x:v>
      </x:c>
      <x:c r="R29" s="60" t="n">
        <x:f>IF(AND(ISNUMBER(Q33)),Q33,"n.a.")</x:f>
        <x:v>8939252.231617551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1" t="n">
        <x:f>IF(AND(ISNUMBER(G29),ISNUMBER('Assumptions'!$D$31)),G29*'Assumptions'!$D$31/12,"n.a.")</x:f>
        <x:v>48750</x:v>
      </x:c>
      <x:c r="H30" s="61" t="n">
        <x:f>IF(AND(ISNUMBER(H29),ISNUMBER('Assumptions'!$D$31)),H29*'Assumptions'!$D$31/12,"n.a.")</x:f>
        <x:v>48750</x:v>
      </x:c>
      <x:c r="I30" s="61" t="n">
        <x:f>IF(AND(ISNUMBER(I29),ISNUMBER('Assumptions'!$D$31)),I29*'Assumptions'!$D$31/12,"n.a.")</x:f>
        <x:v>48750</x:v>
      </x:c>
      <x:c r="J30" s="61" t="n">
        <x:f>IF(AND(ISNUMBER(J29),ISNUMBER('Assumptions'!$D$31)),J29*'Assumptions'!$D$31/12,"n.a.")</x:f>
        <x:v>48750</x:v>
      </x:c>
      <x:c r="K30" s="61" t="n">
        <x:f>IF(AND(ISNUMBER(K29),ISNUMBER('Assumptions'!$D$31)),K29*'Assumptions'!$D$31/12,"n.a.")</x:f>
        <x:v>48750</x:v>
      </x:c>
      <x:c r="L30" s="61" t="n">
        <x:f>IF(AND(ISNUMBER(L29),ISNUMBER('Assumptions'!$D$31)),L29*'Assumptions'!$D$31/12,"n.a.")</x:f>
        <x:v>48750</x:v>
      </x:c>
      <x:c r="M30" s="61" t="n">
        <x:f>IF(AND(ISNUMBER(M29),ISNUMBER('Assumptions'!$D$31)),M29*'Assumptions'!$D$31/12,"n.a.")</x:f>
        <x:v>48750</x:v>
      </x:c>
      <x:c r="N30" s="61" t="n">
        <x:f>IF(AND(ISNUMBER(N29),ISNUMBER('Assumptions'!$D$31)),N29*'Assumptions'!$D$31/12,"n.a.")</x:f>
        <x:v>48684.89900884302</x:v>
      </x:c>
      <x:c r="O30" s="61" t="n">
        <x:f>IF(AND(ISNUMBER(O29),ISNUMBER('Assumptions'!$D$31)),O29*'Assumptions'!$D$31/12,"n.a.")</x:f>
        <x:v>48619.44538731728</x:v>
      </x:c>
      <x:c r="P30" s="61" t="n">
        <x:f>IF(AND(ISNUMBER(P29),ISNUMBER('Assumptions'!$D$31)),P29*'Assumptions'!$D$31/12,"n.a.")</x:f>
        <x:v>48553.63722534161</x:v>
      </x:c>
      <x:c r="Q30" s="61" t="n">
        <x:f>IF(AND(ISNUMBER(Q29),ISNUMBER('Assumptions'!$D$31)),Q29*'Assumptions'!$D$31/12,"n.a.")</x:f>
        <x:v>48487.47260248857</x:v>
      </x:c>
      <x:c r="R30" s="61" t="n">
        <x:f>IF(AND(ISNUMBER(R29),ISNUMBER('Assumptions'!$D$31)),R29*'Assumptions'!$D$31/12,"n.a.")</x:f>
        <x:v>48420.9495879284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1" t="n">
        <x:f>IF(AND(ISNUMBER('Assumptions'!$D$37),ISNUMBER(G30),ISNUMBER(G29),ISNUMBER(D16)),IF(1&lt;='Assumptions'!$D$37,G30,MIN(G29+G30,D16)),"n.a.")</x:f>
        <x:v>48750</x:v>
      </x:c>
      <x:c r="H31" s="61" t="n">
        <x:f>IF(AND(ISNUMBER('Assumptions'!$D$37),ISNUMBER(H30),ISNUMBER(H29),ISNUMBER(D16)),IF(2&lt;='Assumptions'!$D$37,H30,MIN(H29+H30,D16)),"n.a.")</x:f>
        <x:v>48750</x:v>
      </x:c>
      <x:c r="I31" s="61" t="n">
        <x:f>IF(AND(ISNUMBER('Assumptions'!$D$37),ISNUMBER(I30),ISNUMBER(I29),ISNUMBER(D16)),IF(3&lt;='Assumptions'!$D$37,I30,MIN(I29+I30,D16)),"n.a.")</x:f>
        <x:v>48750</x:v>
      </x:c>
      <x:c r="J31" s="61" t="n">
        <x:f>IF(AND(ISNUMBER('Assumptions'!$D$37),ISNUMBER(J30),ISNUMBER(J29),ISNUMBER(D16)),IF(4&lt;='Assumptions'!$D$37,J30,MIN(J29+J30,D16)),"n.a.")</x:f>
        <x:v>48750</x:v>
      </x:c>
      <x:c r="K31" s="61" t="n">
        <x:f>IF(AND(ISNUMBER('Assumptions'!$D$37),ISNUMBER(K30),ISNUMBER(K29),ISNUMBER(D16)),IF(5&lt;='Assumptions'!$D$37,K30,MIN(K29+K30,D16)),"n.a.")</x:f>
        <x:v>48750</x:v>
      </x:c>
      <x:c r="L31" s="61" t="n">
        <x:f>IF(AND(ISNUMBER('Assumptions'!$D$37),ISNUMBER(L30),ISNUMBER(L29),ISNUMBER(D16)),IF(6&lt;='Assumptions'!$D$37,L30,MIN(L29+L30,D16)),"n.a.")</x:f>
        <x:v>48750</x:v>
      </x:c>
      <x:c r="M31" s="61" t="n">
        <x:f>IF(AND(ISNUMBER('Assumptions'!$D$37),ISNUMBER(M30),ISNUMBER(M29),ISNUMBER(D16)),IF(7&lt;='Assumptions'!$D$37,M30,MIN(M29+M30,D16)),"n.a.")</x:f>
        <x:v>60768.64452128775</x:v>
      </x:c>
      <x:c r="N31" s="61" t="n">
        <x:f>IF(AND(ISNUMBER('Assumptions'!$D$37),ISNUMBER(N30),ISNUMBER(N29),ISNUMBER(D16)),IF(8&lt;='Assumptions'!$D$37,N30,MIN(N29+N30,D16)),"n.a.")</x:f>
        <x:v>60768.64452128775</x:v>
      </x:c>
      <x:c r="O31" s="61" t="n">
        <x:f>IF(AND(ISNUMBER('Assumptions'!$D$37),ISNUMBER(O30),ISNUMBER(O29),ISNUMBER(D16)),IF(9&lt;='Assumptions'!$D$37,O30,MIN(O29+O30,D16)),"n.a.")</x:f>
        <x:v>60768.64452128775</x:v>
      </x:c>
      <x:c r="P31" s="61" t="n">
        <x:f>IF(AND(ISNUMBER('Assumptions'!$D$37),ISNUMBER(P30),ISNUMBER(P29),ISNUMBER(D16)),IF(10&lt;='Assumptions'!$D$37,P30,MIN(P29+P30,D16)),"n.a.")</x:f>
        <x:v>60768.64452128775</x:v>
      </x:c>
      <x:c r="Q31" s="61" t="n">
        <x:f>IF(AND(ISNUMBER('Assumptions'!$D$37),ISNUMBER(Q30),ISNUMBER(Q29),ISNUMBER(D16)),IF(11&lt;='Assumptions'!$D$37,Q30,MIN(Q29+Q30,D16)),"n.a.")</x:f>
        <x:v>60768.64452128775</x:v>
      </x:c>
      <x:c r="R31" s="61" t="n">
        <x:f>IF(AND(ISNUMBER('Assumptions'!$D$37),ISNUMBER(R30),ISNUMBER(R29),ISNUMBER(D16)),IF(12&lt;='Assumptions'!$D$37,R30,MIN(R29+R30,D16)),"n.a.")</x:f>
        <x:v>60768.64452128775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0" t="n">
        <x:f>IF(AND(ISNUMBER(G31),ISNUMBER(G30)),G31-G30,"n.a.")</x:f>
        <x:v>0</x:v>
      </x:c>
      <x:c r="H32" s="60" t="n">
        <x:f>IF(AND(ISNUMBER(H31),ISNUMBER(H30)),H31-H30,"n.a.")</x:f>
        <x:v>0</x:v>
      </x:c>
      <x:c r="I32" s="60" t="n">
        <x:f>IF(AND(ISNUMBER(I31),ISNUMBER(I30)),I31-I30,"n.a.")</x:f>
        <x:v>0</x:v>
      </x:c>
      <x:c r="J32" s="60" t="n">
        <x:f>IF(AND(ISNUMBER(J31),ISNUMBER(J30)),J31-J30,"n.a.")</x:f>
        <x:v>0</x:v>
      </x:c>
      <x:c r="K32" s="60" t="n">
        <x:f>IF(AND(ISNUMBER(K31),ISNUMBER(K30)),K31-K30,"n.a.")</x:f>
        <x:v>0</x:v>
      </x:c>
      <x:c r="L32" s="60" t="n">
        <x:f>IF(AND(ISNUMBER(L31),ISNUMBER(L30)),L31-L30,"n.a.")</x:f>
        <x:v>0</x:v>
      </x:c>
      <x:c r="M32" s="60" t="n">
        <x:f>IF(AND(ISNUMBER(M31),ISNUMBER(M30)),M31-M30,"n.a.")</x:f>
        <x:v>12018.644521287752</x:v>
      </x:c>
      <x:c r="N32" s="60" t="n">
        <x:f>IF(AND(ISNUMBER(N31),ISNUMBER(N30)),N31-N30,"n.a.")</x:f>
        <x:v>12083.74551244473</x:v>
      </x:c>
      <x:c r="O32" s="60" t="n">
        <x:f>IF(AND(ISNUMBER(O31),ISNUMBER(O30)),O31-O30,"n.a.")</x:f>
        <x:v>12149.19913397047</x:v>
      </x:c>
      <x:c r="P32" s="60" t="n">
        <x:f>IF(AND(ISNUMBER(P31),ISNUMBER(P30)),P31-P30,"n.a.")</x:f>
        <x:v>12215.00729594614</x:v>
      </x:c>
      <x:c r="Q32" s="60" t="n">
        <x:f>IF(AND(ISNUMBER(Q31),ISNUMBER(Q30)),Q31-Q30,"n.a.")</x:f>
        <x:v>12281.171918799184</x:v>
      </x:c>
      <x:c r="R32" s="60" t="n">
        <x:f>IF(AND(ISNUMBER(R31),ISNUMBER(R30)),R31-R30,"n.a.")</x:f>
        <x:v>12347.694933359351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0" t="n">
        <x:f>IF(AND(ISNUMBER(G29),ISNUMBER(G32),ISNUMBER(G38)),G29-G32-G38,"n.a.")</x:f>
        <x:v>9000000</x:v>
      </x:c>
      <x:c r="H33" s="60" t="n">
        <x:f>IF(AND(ISNUMBER(H29),ISNUMBER(H32),ISNUMBER(H38)),H29-H32-H38,"n.a.")</x:f>
        <x:v>9000000</x:v>
      </x:c>
      <x:c r="I33" s="60" t="n">
        <x:f>IF(AND(ISNUMBER(I29),ISNUMBER(I32),ISNUMBER(I38)),I29-I32-I38,"n.a.")</x:f>
        <x:v>9000000</x:v>
      </x:c>
      <x:c r="J33" s="60" t="n">
        <x:f>IF(AND(ISNUMBER(J29),ISNUMBER(J32),ISNUMBER(J38)),J29-J32-J38,"n.a.")</x:f>
        <x:v>9000000</x:v>
      </x:c>
      <x:c r="K33" s="60" t="n">
        <x:f>IF(AND(ISNUMBER(K29),ISNUMBER(K32),ISNUMBER(K38)),K29-K32-K38,"n.a.")</x:f>
        <x:v>9000000</x:v>
      </x:c>
      <x:c r="L33" s="60" t="n">
        <x:f>IF(AND(ISNUMBER(L29),ISNUMBER(L32),ISNUMBER(L38)),L29-L32-L38,"n.a.")</x:f>
        <x:v>9000000</x:v>
      </x:c>
      <x:c r="M33" s="60" t="n">
        <x:f>IF(AND(ISNUMBER(M29),ISNUMBER(M32),ISNUMBER(M38)),M29-M32-M38,"n.a.")</x:f>
        <x:v>8987981.355478711</x:v>
      </x:c>
      <x:c r="N33" s="60" t="n">
        <x:f>IF(AND(ISNUMBER(N29),ISNUMBER(N32),ISNUMBER(N38)),N29-N32-N38,"n.a.")</x:f>
        <x:v>8975897.609966267</x:v>
      </x:c>
      <x:c r="O33" s="60" t="n">
        <x:f>IF(AND(ISNUMBER(O29),ISNUMBER(O32),ISNUMBER(O38)),O29-O32-O38,"n.a.")</x:f>
        <x:v>8963748.410832297</x:v>
      </x:c>
      <x:c r="P33" s="60" t="n">
        <x:f>IF(AND(ISNUMBER(P29),ISNUMBER(P32),ISNUMBER(P38)),P29-P32-P38,"n.a.")</x:f>
        <x:v>8951533.403536351</x:v>
      </x:c>
      <x:c r="Q33" s="60" t="n">
        <x:f>IF(AND(ISNUMBER(Q29),ISNUMBER(Q32),ISNUMBER(Q38)),Q29-Q32-Q38,"n.a.")</x:f>
        <x:v>8939252.231617551</x:v>
      </x:c>
      <x:c r="R33" s="60" t="n">
        <x:f>IF(AND(ISNUMBER(R29),ISNUMBER(R32),ISNUMBER(R38)),R29-R32-R38,"n.a.")</x:f>
        <x:v>8926904.536684193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1" t="n">
        <x:f>IF(AND(ISNUMBER('Operations'!G26)),'Operations'!G26,"n.a.")</x:f>
        <x:v>109293.19563428572</x:v>
      </x:c>
      <x:c r="H34" s="61" t="n">
        <x:f>IF(AND(ISNUMBER('Operations'!H26)),'Operations'!H26,"n.a.")</x:f>
        <x:v>87799.17552</x:v>
      </x:c>
      <x:c r="I34" s="61" t="n">
        <x:f>IF(AND(ISNUMBER('Operations'!I26)),'Operations'!I26,"n.a.")</x:f>
        <x:v>97449.6276378857</x:v>
      </x:c>
      <x:c r="J34" s="61" t="n">
        <x:f>IF(AND(ISNUMBER('Operations'!J26)),'Operations'!J26,"n.a.")</x:f>
        <x:v>108044.00988089104</x:v>
      </x:c>
      <x:c r="K34" s="61" t="n">
        <x:f>IF(AND(ISNUMBER('Operations'!K26)),'Operations'!K26,"n.a.")</x:f>
        <x:v>114560.50664152051</x:v>
      </x:c>
      <x:c r="L34" s="61" t="n">
        <x:f>IF(AND(ISNUMBER('Operations'!L26)),'Operations'!L26,"n.a.")</x:f>
        <x:v>110657.99460697635</x:v>
      </x:c>
      <x:c r="M34" s="61" t="n">
        <x:f>IF(AND(ISNUMBER('Operations'!M26)),'Operations'!M26,"n.a.")</x:f>
        <x:v>115207.46786122664</x:v>
      </x:c>
      <x:c r="N34" s="61" t="n">
        <x:f>IF(AND(ISNUMBER('Operations'!N26)),'Operations'!N26,"n.a.")</x:f>
        <x:v>115784.42838885359</x:v>
      </x:c>
      <x:c r="O34" s="61" t="n">
        <x:f>IF(AND(ISNUMBER('Operations'!O26)),'Operations'!O26,"n.a.")</x:f>
        <x:v>110960.91523944128</x:v>
      </x:c>
      <x:c r="P34" s="61" t="n">
        <x:f>IF(AND(ISNUMBER('Operations'!P26)),'Operations'!P26,"n.a.")</x:f>
        <x:v>100619.99907204745</x:v>
      </x:c>
      <x:c r="Q34" s="61" t="n">
        <x:f>IF(AND(ISNUMBER('Operations'!Q26)),'Operations'!Q26,"n.a.")</x:f>
        <x:v>94639.21715370315</x:v>
      </x:c>
      <x:c r="R34" s="61" t="n">
        <x:f>IF(AND(ISNUMBER('Operations'!R26)),'Operations'!R26,"n.a.")</x:f>
        <x:v>98149.0476609701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1" t="n">
        <x:f>IF(AND(ISNUMBER('Operations'!G21)),'Operations'!G21,"n.a.")</x:f>
        <x:v>5000</x:v>
      </x:c>
      <x:c r="H35" s="61" t="n">
        <x:f>IF(AND(ISNUMBER('Operations'!H21)),'Operations'!H21,"n.a.")</x:f>
        <x:v>5000</x:v>
      </x:c>
      <x:c r="I35" s="61" t="n">
        <x:f>IF(AND(ISNUMBER('Operations'!I21)),'Operations'!I21,"n.a.")</x:f>
        <x:v>5000</x:v>
      </x:c>
      <x:c r="J35" s="61" t="n">
        <x:f>IF(AND(ISNUMBER('Operations'!J21)),'Operations'!J21,"n.a.")</x:f>
        <x:v>5000</x:v>
      </x:c>
      <x:c r="K35" s="61" t="n">
        <x:f>IF(AND(ISNUMBER('Operations'!K21)),'Operations'!K21,"n.a.")</x:f>
        <x:v>5000</x:v>
      </x:c>
      <x:c r="L35" s="61" t="n">
        <x:f>IF(AND(ISNUMBER('Operations'!L21)),'Operations'!L21,"n.a.")</x:f>
        <x:v>5000</x:v>
      </x:c>
      <x:c r="M35" s="61" t="n">
        <x:f>IF(AND(ISNUMBER('Operations'!M21)),'Operations'!M21,"n.a.")</x:f>
        <x:v>5000</x:v>
      </x:c>
      <x:c r="N35" s="61" t="n">
        <x:f>IF(AND(ISNUMBER('Operations'!N21)),'Operations'!N21,"n.a.")</x:f>
        <x:v>5000</x:v>
      </x:c>
      <x:c r="O35" s="61" t="n">
        <x:f>IF(AND(ISNUMBER('Operations'!O21)),'Operations'!O21,"n.a.")</x:f>
        <x:v>180000</x:v>
      </x:c>
      <x:c r="P35" s="61" t="n">
        <x:f>IF(AND(ISNUMBER('Operations'!P21)),'Operations'!P21,"n.a.")</x:f>
        <x:v>5000</x:v>
      </x:c>
      <x:c r="Q35" s="61" t="n">
        <x:f>IF(AND(ISNUMBER('Operations'!Q21)),'Operations'!Q21,"n.a.")</x:f>
        <x:v>5000</x:v>
      </x:c>
      <x:c r="R35" s="61" t="n">
        <x:f>IF(AND(ISNUMBER('Operations'!R21)),'Operations'!R21,"n.a.")</x:f>
        <x:v>5000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0" t="n">
        <x:f>IF(AND(ISNUMBER(G34),ISNUMBER(G31),ISNUMBER(G35),ISNUMBER(G38)),G34-G31-G35-G38,"n.a.")</x:f>
        <x:v>55543.195634285716</x:v>
      </x:c>
      <x:c r="H36" s="60" t="n">
        <x:f>IF(AND(ISNUMBER(H34),ISNUMBER(H31),ISNUMBER(H35),ISNUMBER(H38)),H34-H31-H35-H38,"n.a.")</x:f>
        <x:v>34049.175520000004</x:v>
      </x:c>
      <x:c r="I36" s="60" t="n">
        <x:f>IF(AND(ISNUMBER(I34),ISNUMBER(I31),ISNUMBER(I35),ISNUMBER(I38)),I34-I31-I35-I38,"n.a.")</x:f>
        <x:v>43699.6276378857</x:v>
      </x:c>
      <x:c r="J36" s="60" t="n">
        <x:f>IF(AND(ISNUMBER(J34),ISNUMBER(J31),ISNUMBER(J35),ISNUMBER(J38)),J34-J31-J35-J38,"n.a.")</x:f>
        <x:v>54294.00988089104</x:v>
      </x:c>
      <x:c r="K36" s="60" t="n">
        <x:f>IF(AND(ISNUMBER(K34),ISNUMBER(K31),ISNUMBER(K35),ISNUMBER(K38)),K34-K31-K35-K38,"n.a.")</x:f>
        <x:v>60810.50664152051</x:v>
      </x:c>
      <x:c r="L36" s="60" t="n">
        <x:f>IF(AND(ISNUMBER(L34),ISNUMBER(L31),ISNUMBER(L35),ISNUMBER(L38)),L34-L31-L35-L38,"n.a.")</x:f>
        <x:v>56907.994606976354</x:v>
      </x:c>
      <x:c r="M36" s="60" t="n">
        <x:f>IF(AND(ISNUMBER(M34),ISNUMBER(M31),ISNUMBER(M35),ISNUMBER(M38)),M34-M31-M35-M38,"n.a.")</x:f>
        <x:v>49438.82333993889</x:v>
      </x:c>
      <x:c r="N36" s="60" t="n">
        <x:f>IF(AND(ISNUMBER(N34),ISNUMBER(N31),ISNUMBER(N35),ISNUMBER(N38)),N34-N31-N35-N38,"n.a.")</x:f>
        <x:v>50015.783867565835</x:v>
      </x:c>
      <x:c r="O36" s="60" t="n">
        <x:f>IF(AND(ISNUMBER(O34),ISNUMBER(O31),ISNUMBER(O35),ISNUMBER(O38)),O34-O31-O35-O38,"n.a.")</x:f>
        <x:v>-129807.72928184646</x:v>
      </x:c>
      <x:c r="P36" s="60" t="n">
        <x:f>IF(AND(ISNUMBER(P34),ISNUMBER(P31),ISNUMBER(P35),ISNUMBER(P38)),P34-P31-P35-P38,"n.a.")</x:f>
        <x:v>34851.354550759694</x:v>
      </x:c>
      <x:c r="Q36" s="60" t="n">
        <x:f>IF(AND(ISNUMBER(Q34),ISNUMBER(Q31),ISNUMBER(Q35),ISNUMBER(Q38)),Q34-Q31-Q35-Q38,"n.a.")</x:f>
        <x:v>28870.572632415402</x:v>
      </x:c>
      <x:c r="R36" s="60" t="n">
        <x:f>IF(AND(ISNUMBER(R34),ISNUMBER(R31),ISNUMBER(R35),ISNUMBER(R38)),R34-R31-R35-R38,"n.a.")</x:f>
        <x:v>32380.40313968235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1" t="n">
        <x:f>IF(AND(ISNUMBER('Assumptions'!$D$22),ISNUMBER(G36)),'Assumptions'!$D$22+G36,"n.a.")</x:f>
        <x:v>305543.1956342857</x:v>
      </x:c>
      <x:c r="H37" s="60" t="n">
        <x:f>IF(AND(ISNUMBER(G37),ISNUMBER(H36)),G37+H36,"n.a.")</x:f>
        <x:v>339592.3711542857</x:v>
      </x:c>
      <x:c r="I37" s="60" t="n">
        <x:f>IF(AND(ISNUMBER(H37),ISNUMBER(I36)),H37+I36,"n.a.")</x:f>
        <x:v>383291.99879217136</x:v>
      </x:c>
      <x:c r="J37" s="60" t="n">
        <x:f>IF(AND(ISNUMBER(I37),ISNUMBER(J36)),I37+J36,"n.a.")</x:f>
        <x:v>437586.00867306243</x:v>
      </x:c>
      <x:c r="K37" s="60" t="n">
        <x:f>IF(AND(ISNUMBER(J37),ISNUMBER(K36)),J37+K36,"n.a.")</x:f>
        <x:v>498396.51531458297</x:v>
      </x:c>
      <x:c r="L37" s="60" t="n">
        <x:f>IF(AND(ISNUMBER(K37),ISNUMBER(L36)),K37+L36,"n.a.")</x:f>
        <x:v>555304.5099215594</x:v>
      </x:c>
      <x:c r="M37" s="60" t="n">
        <x:f>IF(AND(ISNUMBER(L37),ISNUMBER(M36)),L37+M36,"n.a.")</x:f>
        <x:v>604743.3332614983</x:v>
      </x:c>
      <x:c r="N37" s="60" t="n">
        <x:f>IF(AND(ISNUMBER(M37),ISNUMBER(N36)),M37+N36,"n.a.")</x:f>
        <x:v>654759.117129064</x:v>
      </x:c>
      <x:c r="O37" s="60" t="n">
        <x:f>IF(AND(ISNUMBER(N37),ISNUMBER(O36)),N37+O36,"n.a.")</x:f>
        <x:v>524951.3878472176</x:v>
      </x:c>
      <x:c r="P37" s="60" t="n">
        <x:f>IF(AND(ISNUMBER(O37),ISNUMBER(P36)),O37+P36,"n.a.")</x:f>
        <x:v>559802.7423979773</x:v>
      </x:c>
      <x:c r="Q37" s="60" t="n">
        <x:f>IF(AND(ISNUMBER(P37),ISNUMBER(Q36)),P37+Q36,"n.a.")</x:f>
        <x:v>588673.3150303927</x:v>
      </x:c>
      <x:c r="R37" s="60" t="n">
        <x:f>IF(AND(ISNUMBER(Q37),ISNUMBER(R36)),Q37+R36,"n.a.")</x:f>
        <x:v>621053.7181700751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1" t="n">
        <x:f>IF(AND(ISNUMBER('Assumptions'!$D$40),ISNUMBER(G29),ISNUMBER(G32)),IF(1='Assumptions'!$D$40,G29-G32,0),"n.a.")</x:f>
        <x:v>0</x:v>
      </x:c>
      <x:c r="H38" s="61" t="n">
        <x:f>IF(AND(ISNUMBER('Assumptions'!$D$40),ISNUMBER(H29),ISNUMBER(H32)),IF(2='Assumptions'!$D$40,H29-H32,0),"n.a.")</x:f>
        <x:v>0</x:v>
      </x:c>
      <x:c r="I38" s="61" t="n">
        <x:f>IF(AND(ISNUMBER('Assumptions'!$D$40),ISNUMBER(I29),ISNUMBER(I32)),IF(3='Assumptions'!$D$40,I29-I32,0),"n.a.")</x:f>
        <x:v>0</x:v>
      </x:c>
      <x:c r="J38" s="61" t="n">
        <x:f>IF(AND(ISNUMBER('Assumptions'!$D$40),ISNUMBER(J29),ISNUMBER(J32)),IF(4='Assumptions'!$D$40,J29-J32,0),"n.a.")</x:f>
        <x:v>0</x:v>
      </x:c>
      <x:c r="K38" s="61" t="n">
        <x:f>IF(AND(ISNUMBER('Assumptions'!$D$40),ISNUMBER(K29),ISNUMBER(K32)),IF(5='Assumptions'!$D$40,K29-K32,0),"n.a.")</x:f>
        <x:v>0</x:v>
      </x:c>
      <x:c r="L38" s="61" t="n">
        <x:f>IF(AND(ISNUMBER('Assumptions'!$D$40),ISNUMBER(L29),ISNUMBER(L32)),IF(6='Assumptions'!$D$40,L29-L32,0),"n.a.")</x:f>
        <x:v>0</x:v>
      </x:c>
      <x:c r="M38" s="61" t="n">
        <x:f>IF(AND(ISNUMBER('Assumptions'!$D$40),ISNUMBER(M29),ISNUMBER(M32)),IF(7='Assumptions'!$D$40,M29-M32,0),"n.a.")</x:f>
        <x:v>0</x:v>
      </x:c>
      <x:c r="N38" s="61" t="n">
        <x:f>IF(AND(ISNUMBER('Assumptions'!$D$40),ISNUMBER(N29),ISNUMBER(N32)),IF(8='Assumptions'!$D$40,N29-N32,0),"n.a.")</x:f>
        <x:v>0</x:v>
      </x:c>
      <x:c r="O38" s="61" t="n">
        <x:f>IF(AND(ISNUMBER('Assumptions'!$D$40),ISNUMBER(O29),ISNUMBER(O32)),IF(9='Assumptions'!$D$40,O29-O32,0),"n.a.")</x:f>
        <x:v>0</x:v>
      </x:c>
      <x:c r="P38" s="61" t="n">
        <x:f>IF(AND(ISNUMBER('Assumptions'!$D$40),ISNUMBER(P29),ISNUMBER(P32)),IF(10='Assumptions'!$D$40,P29-P32,0),"n.a.")</x:f>
        <x:v>0</x:v>
      </x:c>
      <x:c r="Q38" s="61" t="n">
        <x:f>IF(AND(ISNUMBER('Assumptions'!$D$40),ISNUMBER(Q29),ISNUMBER(Q32)),IF(11='Assumptions'!$D$40,Q29-Q32,0),"n.a.")</x:f>
        <x:v>0</x:v>
      </x:c>
      <x:c r="R38" s="61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657111.8671277266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2" t="n">
        <x:f>IF(AND(ISNUMBER(D43),ISNUMBER(D9)),IF(D43=0,"n.a.",D9/D43),"n.a.")</x:f>
        <x:v>1.922299152531167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8926904.536684193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1500000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621053.7181700751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1" t="n">
        <x:f>25-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,'Assumptions'!$D$82)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1" t="n">
        <x:f>COUNTIFS('Stay Length and Collections'!N10:N21,"Missing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1" t="n">
        <x:f>IF(AND(ISNUMBER('Operations'!E24),ISNUMBER('Operations'!E19),ISNUMBER('Operations'!E23)),'Operations'!E24-'Operations'!E19+'Operations'!E23,"n.a.")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1" t="n">
        <x:f>IF(AND(ISNUMBER('Operations'!E26),ISNUMBER('Operations'!E24),ISNUMBER('Operations'!E25)),'Operations'!E26-'Operations'!E24+'Operations'!E25,"n.a.")</x:f>
        <x:v>1.4551915228366852e-11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1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1" t="n">
        <x:f>IF(COUNT('Debt and Funding'!G34:R36)=36,'Debt and Funding'!R37-'Assumptions'!$D$22-SUM('Debt and Funding'!G34:R34)+SUM('Debt and Funding'!G31:R31)+SUM('Debt and Funding'!G35:R35)+SUM('Debt and Funding'!G38:R38),"n.a.")</x:f>
        <x:v>1.1641532182693481e-10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1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Room-nights use calendar days. Completed stays equal occupied nights / average stay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length as a steady-state cleaning estimate; arrival-level timing and early departures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are not modeled.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Night-service costs exclude the separate departure cleaning cost. Brand fees use earned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room charges, including uncollected corporate bills. Payroll and fixed property costs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must cover distinct expenses.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Corporate charges roll through current receipts, prior receipts, write-offs and ending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receivables. Noncorporate charges are collected immediately. Operating revenue is cash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received; one-time receivable recovery may need a lender NCF adjustment. Write-offs are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not deducted again as cash expense.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Rates exclude lodging taxes and ancillary income. Room-use legality, guest tenancy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rights, franchise terms, corporate credit and actual collection timing require separate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review. This is hotel operating cash, not an apartment rent roll or a guaranteed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debt-service basis.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Published by Jaken Finance Group. 833-264-7776 | info@jakenfinancegroup.com.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Every numerical assumption is illustrative. No current market quote, legal conclusion or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 t="str">
        <x:v>lender eligibility is represented.</x:v>
      </x:c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NCF is a modeled cash measure after cash reserve deposits. An actual lender may adjust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 t="str">
        <x:v>income, expenses, reserves, tax and business cash differently.</x:v>
      </x:c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No tax return, appraisal, legal compliance, guaranty capacity or refinancing approval is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 t="str">
        <x:v>established by the calculations.</x:v>
      </x:c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Calculation methods and conventions are shown here. Check Review and replace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 t="str">
        <x:v>illustrative inputs before relying on results.</x:v>
      </x:c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