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73d9cc455c74c16" /></Relationships>
</file>

<file path=xl/workbook.xml><?xml version="1.0" encoding="utf-8"?>
<x:workbook xmlns:x="http://schemas.openxmlformats.org/spreadsheetml/2006/main">
  <x:sheets>
    <x:sheet xmlns:r="http://schemas.openxmlformats.org/officeDocument/2006/relationships" name="Summary" sheetId="1" r:id="R22f4432fd431476c"/>
    <x:sheet xmlns:r="http://schemas.openxmlformats.org/officeDocument/2006/relationships" name="Assumptions" sheetId="2" r:id="R4c2db4469e504f3e"/>
    <x:sheet xmlns:r="http://schemas.openxmlformats.org/officeDocument/2006/relationships" name="Services and Restricted Cash" sheetId="3" r:id="Rd467e6803b9b40c2"/>
    <x:sheet xmlns:r="http://schemas.openxmlformats.org/officeDocument/2006/relationships" name="Operations" sheetId="4" r:id="Raaf3cc096f0949fd"/>
    <x:sheet xmlns:r="http://schemas.openxmlformats.org/officeDocument/2006/relationships" name="Debt and Funding" sheetId="5" r:id="R473dd723bb584939"/>
    <x:sheet xmlns:r="http://schemas.openxmlformats.org/officeDocument/2006/relationships" name="Review" sheetId="6" r:id="Rd500460e1ff64749"/>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0.0;(#,##0.0);&quot;—&quot;"/>
    <x:numFmt numFmtId="201" formatCode="0"/>
    <x:numFmt numFmtId="202" formatCode="$#,##0.00##;($#,##0.00##);&quot;—&quot;"/>
    <x:numFmt numFmtId="203" formatCode="  @"/>
    <x:numFmt numFmtId="204" formatCode="0.0%;(0.0%);&quot;—&quot;"/>
    <x:numFmt numFmtId="205" formatCode="0.00&quot;x&quot;"/>
    <x:numFmt numFmtId="206" formatCode="mmm-yy"/>
    <x:numFmt numFmtId="207" formatCode="$#,##0;($#,##0);&quot;—&quot;"/>
    <x:numFmt numFmtId="208" formatCode="0.000000&quot;x&quot;"/>
    <x:numFmt numFmtId="209" formatCode="@"/>
    <x:numFmt numFmtId="210" formatCode="0.00;(0.00);0.00"/>
  </x:numFmts>
  <x:fonts count="16">
    <x:font>
      <x:sz val="11"/>
      <x:name val="Carlito"/>
    </x:font>
    <x:font>
      <x:sz val="10"/>
      <x:color rgb="FF172D45"/>
      <x:name val="Arial"/>
    </x:font>
    <x:font>
      <x:b/>
      <x:sz val="15"/>
      <x:color rgb="FF172D45"/>
      <x:name val="Arial"/>
    </x:font>
    <x:font>
      <x:sz val="10"/>
      <x:color rgb="FF28733C"/>
      <x:name val="Arial"/>
    </x:font>
    <x:font>
      <x:b/>
      <x:sz val="10"/>
      <x:color rgb="FF28733C"/>
      <x:name val="Arial"/>
    </x:font>
    <x:font>
      <x:b/>
      <x:sz val="10"/>
      <x:color rgb="FF174EA6"/>
      <x:name val="Arial"/>
    </x:font>
    <x:font>
      <x:sz val="10"/>
      <x:color rgb="FF111111"/>
      <x:name val="Arial"/>
    </x:font>
    <x:font>
      <x:sz val="10"/>
      <x:color rgb="FF174EA6"/>
      <x:name val="Arial"/>
    </x:font>
    <x:font>
      <x:b/>
      <x:sz val="10"/>
      <x:color rgb="FFFFFFFF"/>
      <x:name val="Arial"/>
    </x:font>
    <x:font>
      <x:b/>
      <x:sz val="10"/>
      <x:color rgb="FF172D45"/>
      <x:name val="Arial"/>
    </x:font>
    <x:font>
      <x:b/>
      <x:sz val="10"/>
      <x:color rgb="FF111111"/>
      <x:name val="Arial"/>
    </x:font>
    <x:font>
      <x:b/>
      <x:i/>
      <x:sz val="10"/>
      <x:color rgb="FF172D45"/>
      <x:name val="Arial"/>
    </x:font>
    <x:font>
      <x:b/>
      <x:i/>
      <x:sz val="10"/>
      <x:color rgb="FF111111"/>
      <x:name val="Arial"/>
    </x:font>
    <x:font>
      <x:i/>
      <x:sz val="10"/>
      <x:color rgb="FF172D45"/>
      <x:name val="Arial"/>
    </x:font>
    <x:font>
      <x:i/>
      <x:sz val="10"/>
      <x:color rgb="FF174EA6"/>
      <x:name val="Arial"/>
    </x:font>
    <x:font>
      <x:sz val="10"/>
      <x:name val="Carlito"/>
    </x:font>
  </x:fonts>
  <x:fills count="5">
    <x:fill>
      <x:patternFill patternType="none"/>
    </x:fill>
    <x:fill>
      <x:patternFill patternType="gray125"/>
    </x:fill>
    <x:fill>
      <x:patternFill patternType="solid">
        <x:fgColor rgb="FFFFF3D0"/>
      </x:patternFill>
    </x:fill>
    <x:fill>
      <x:patternFill patternType="solid">
        <x:fgColor rgb="FF183B56"/>
      </x:patternFill>
    </x:fill>
    <x:fill>
      <x:patternFill patternType="solid">
        <x:fgColor rgb="FFE8F0F5"/>
      </x:patternFill>
    </x:fill>
  </x:fills>
  <x:borders count="3">
    <x:border>
      <x:left/>
      <x:right/>
      <x:top/>
      <x:bottom/>
      <x:diagonal/>
    </x:border>
    <x:border>
      <x:left/>
      <x:right/>
      <x:top/>
      <x:bottom style="thin">
        <x:color rgb="FF9BADB9"/>
      </x:bottom>
      <x:diagonal/>
    </x:border>
    <x:border>
      <x:left style="dashed">
        <x:color rgb="FF9BADB9"/>
      </x:left>
      <x:right style="dashed">
        <x:color rgb="FF9BADB9"/>
      </x:right>
      <x:top style="dashed">
        <x:color rgb="FF9BADB9"/>
      </x:top>
      <x:bottom style="dashed">
        <x:color rgb="FF9BADB9"/>
      </x:bottom>
      <x:diagonal/>
    </x:border>
  </x:borders>
  <x:cellStyleXfs count="1">
    <x:xf numFmtId="0" fontId="0" fillId="0" borderId="0"/>
  </x:cellStyleXfs>
  <x:cellXfs count="7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2" xfId="0" applyNumberFormat="1" applyFont="1" applyFill="1" applyBorder="1" applyAlignment="1">
      <x:alignment vertical="center"/>
    </x:xf>
    <x:xf numFmtId="0" fontId="4" fillId="0" borderId="2" xfId="0" applyNumberFormat="1" applyFont="1" applyFill="1" applyBorder="1" applyAlignment="1">
      <x:alignment horizontal="center" vertical="center"/>
    </x:xf>
    <x:xf numFmtId="0" fontId="4" fillId="2" borderId="2" xfId="0" applyNumberFormat="1" applyFont="1" applyFill="1" applyBorder="1" applyAlignment="1">
      <x:alignment horizontal="center" vertical="center"/>
    </x:xf>
    <x:xf numFmtId="0" fontId="5" fillId="2" borderId="2" xfId="0" applyNumberFormat="1" applyFont="1" applyFill="1" applyBorder="1" applyAlignment="1">
      <x:alignment horizontal="center" vertical="center"/>
    </x:xf>
    <x:xf numFmtId="200" fontId="5" fillId="2" borderId="2" xfId="0" applyNumberFormat="1" applyFont="1" applyFill="1" applyBorder="1" applyAlignment="1">
      <x:alignment horizontal="center" vertical="center"/>
    </x:xf>
    <x:xf numFmtId="0" fontId="6"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7" fillId="2" borderId="0" xfId="0" applyNumberFormat="1" applyFont="1" applyFill="1" applyBorder="1" applyAlignment="1">
      <x:alignment vertical="center"/>
    </x:xf>
    <x:xf numFmtId="200" fontId="7" fillId="2" borderId="0" xfId="0" applyNumberFormat="1" applyFont="1" applyFill="1" applyBorder="1" applyAlignment="1">
      <x:alignment vertical="center"/>
    </x:xf>
    <x:xf numFmtId="201" fontId="7"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9" fillId="4" borderId="0" xfId="0" applyNumberFormat="1" applyFont="1" applyFill="1" applyBorder="1" applyAlignment="1">
      <x:alignment vertical="center"/>
    </x:xf>
    <x:xf numFmtId="0" fontId="10" fillId="4" borderId="0" xfId="0" applyNumberFormat="1" applyFont="1" applyFill="1" applyBorder="1" applyAlignment="1">
      <x:alignment vertical="center"/>
    </x:xf>
    <x:xf numFmtId="202" fontId="10" fillId="4" borderId="0" xfId="0" applyNumberFormat="1" applyFont="1" applyFill="1" applyBorder="1" applyAlignment="1">
      <x:alignment vertical="center"/>
    </x:xf>
    <x:xf numFmtId="202" fontId="7" fillId="2"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0" fillId="4" borderId="0" xfId="0" applyNumberFormat="1" applyFont="1" applyFill="1" applyBorder="1" applyAlignment="1">
      <x:alignment vertical="center"/>
    </x:xf>
    <x:xf numFmtId="204" fontId="7" fillId="2" borderId="0" xfId="0" applyNumberFormat="1" applyFont="1" applyFill="1" applyBorder="1" applyAlignment="1">
      <x:alignment vertical="center"/>
    </x:xf>
    <x:xf numFmtId="0" fontId="11" fillId="4" borderId="0" xfId="0" applyNumberFormat="1" applyFont="1" applyFill="1" applyBorder="1" applyAlignment="1">
      <x:alignment vertical="center"/>
    </x:xf>
    <x:xf numFmtId="204" fontId="12" fillId="4" borderId="0" xfId="0" applyNumberFormat="1" applyFont="1" applyFill="1" applyBorder="1" applyAlignment="1">
      <x:alignment vertical="center"/>
    </x:xf>
    <x:xf numFmtId="0" fontId="13" fillId="4" borderId="0" xfId="0" applyNumberFormat="1" applyFont="1" applyFill="1" applyBorder="1" applyAlignment="1">
      <x:alignment vertical="center"/>
    </x:xf>
    <x:xf numFmtId="203" fontId="13" fillId="0" borderId="0" xfId="0" applyNumberFormat="1" applyFont="1" applyFill="1" applyBorder="1" applyAlignment="1">
      <x:alignment vertical="center"/>
    </x:xf>
    <x:xf numFmtId="204" fontId="14" fillId="2" borderId="0" xfId="0" applyNumberFormat="1" applyFont="1" applyFill="1" applyBorder="1" applyAlignment="1">
      <x:alignment vertical="center"/>
    </x:xf>
    <x:xf numFmtId="0" fontId="13" fillId="0" borderId="0" xfId="0" applyNumberFormat="1" applyFont="1" applyFill="1" applyBorder="1" applyAlignment="1">
      <x:alignment vertical="center"/>
    </x:xf>
    <x:xf numFmtId="200" fontId="10" fillId="4" borderId="0" xfId="0" applyNumberFormat="1" applyFont="1" applyFill="1" applyBorder="1" applyAlignment="1">
      <x:alignment vertical="center"/>
    </x:xf>
    <x:xf numFmtId="205" fontId="10" fillId="4" borderId="0" xfId="0" applyNumberFormat="1" applyFont="1" applyFill="1" applyBorder="1" applyAlignment="1">
      <x:alignment vertical="center"/>
    </x:xf>
    <x:xf numFmtId="205" fontId="7" fillId="2" borderId="0" xfId="0" applyNumberFormat="1" applyFont="1" applyFill="1" applyBorder="1" applyAlignment="1">
      <x:alignment vertical="center"/>
    </x:xf>
    <x:xf numFmtId="205" fontId="12" fillId="4" borderId="0" xfId="0" applyNumberFormat="1" applyFont="1" applyFill="1" applyBorder="1" applyAlignment="1">
      <x:alignment vertical="center"/>
    </x:xf>
    <x:xf numFmtId="205" fontId="1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6" fontId="3" fillId="0" borderId="0" xfId="0" applyNumberFormat="1" applyFont="1" applyFill="1" applyBorder="1" applyAlignment="1">
      <x:alignment vertical="center"/>
    </x:xf>
    <x:xf numFmtId="0" fontId="4" fillId="3" borderId="0" xfId="0" applyNumberFormat="1" applyFont="1" applyFill="1" applyBorder="1" applyAlignment="1">
      <x:alignment horizontal="center" vertical="center" wrapText="1"/>
    </x:xf>
    <x:xf numFmtId="206" fontId="4" fillId="3" borderId="0" xfId="0" applyNumberFormat="1" applyFont="1" applyFill="1" applyBorder="1" applyAlignment="1">
      <x:alignment horizontal="center" vertical="center" wrapText="1"/>
    </x:xf>
    <x:xf numFmtId="206" fontId="8" fillId="3"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3"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207" fontId="1" fillId="0" borderId="0" xfId="0" applyNumberFormat="1" applyFont="1" applyFill="1" applyBorder="1" applyAlignment="1">
      <x:alignment vertical="center"/>
    </x:xf>
    <x:xf numFmtId="207" fontId="3" fillId="0" borderId="0" xfId="0" applyNumberFormat="1" applyFont="1" applyFill="1" applyBorder="1" applyAlignment="1">
      <x:alignment vertical="center"/>
    </x:xf>
    <x:xf numFmtId="207" fontId="6"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207" fontId="10" fillId="0" borderId="0" xfId="0" applyNumberFormat="1" applyFont="1" applyFill="1" applyBorder="1" applyAlignment="1">
      <x:alignment vertical="center"/>
    </x:xf>
    <x:xf numFmtId="207" fontId="10" fillId="4" borderId="0" xfId="0" applyNumberFormat="1" applyFont="1" applyFill="1" applyBorder="1" applyAlignment="1">
      <x:alignment vertical="center"/>
    </x:xf>
    <x:xf numFmtId="0" fontId="9" fillId="4" borderId="1" xfId="0" applyNumberFormat="1" applyFont="1" applyFill="1" applyBorder="1" applyAlignment="1">
      <x:alignment vertical="center"/>
    </x:xf>
    <x:xf numFmtId="207" fontId="10" fillId="4" borderId="1" xfId="0" applyNumberFormat="1" applyFont="1" applyFill="1" applyBorder="1" applyAlignment="1">
      <x:alignment vertical="center"/>
    </x:xf>
    <x:xf numFmtId="205" fontId="3" fillId="0" borderId="0" xfId="0" applyNumberFormat="1" applyFont="1" applyFill="1" applyBorder="1" applyAlignment="1">
      <x:alignment vertical="center"/>
    </x:xf>
    <x:xf numFmtId="208" fontId="3" fillId="0" borderId="0" xfId="0" applyNumberFormat="1" applyFont="1" applyFill="1" applyBorder="1" applyAlignment="1">
      <x:alignment vertical="center"/>
    </x:xf>
    <x:xf numFmtId="207" fontId="6" fillId="0" borderId="0" xfId="0" applyNumberFormat="1" applyFont="1" applyFill="1" applyBorder="1" applyAlignment="1">
      <x:alignment horizontal="right" vertical="center"/>
    </x:xf>
    <x:xf numFmtId="207" fontId="3" fillId="0" borderId="0" xfId="0" applyNumberFormat="1" applyFont="1" applyFill="1" applyBorder="1" applyAlignment="1">
      <x:alignment horizontal="right" vertical="center"/>
    </x:xf>
    <x:xf numFmtId="205" fontId="6" fillId="0" borderId="0" xfId="0" applyNumberFormat="1" applyFont="1" applyFill="1" applyBorder="1" applyAlignment="1">
      <x:alignment vertical="center"/>
    </x:xf>
    <x:xf numFmtId="207" fontId="9" fillId="0" borderId="0" xfId="0" applyNumberFormat="1" applyFont="1" applyFill="1" applyBorder="1" applyAlignment="1">
      <x:alignment vertical="center"/>
    </x:xf>
    <x:xf numFmtId="207" fontId="9" fillId="4" borderId="0" xfId="0" applyNumberFormat="1" applyFont="1" applyFill="1" applyBorder="1" applyAlignment="1">
      <x:alignment vertical="center"/>
    </x:xf>
    <x:xf numFmtId="207" fontId="9" fillId="4" borderId="1" xfId="0" applyNumberFormat="1" applyFont="1" applyFill="1" applyBorder="1" applyAlignment="1">
      <x:alignment vertical="center"/>
    </x:xf>
    <x:xf numFmtId="209"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7" fontId="1" fillId="0" borderId="0" xfId="0" applyNumberFormat="1" applyFont="1" applyFill="1" applyBorder="1" applyAlignment="1">
      <x:alignment horizontal="right" vertical="center"/>
    </x:xf>
    <x:xf numFmtId="210" fontId="3" fillId="0" borderId="0" xfId="0" applyNumberFormat="1" applyFont="1" applyFill="1" applyBorder="1" applyAlignment="1">
      <x:alignment vertical="center"/>
    </x:xf>
    <x:xf numFmtId="210" fontId="1" fillId="0" borderId="0" xfId="0" applyNumberFormat="1" applyFont="1" applyFill="1" applyBorder="1" applyAlignment="1">
      <x:alignment vertical="center"/>
    </x:xf>
    <x:xf numFmtId="0" fontId="15" fillId="0" borderId="0" xfId="0" applyNumberFormat="1" applyFont="1" applyFill="1" applyBorder="1"/>
  </x:cellXfs>
  <x:cellStyles count="1">
    <x:cellStyle name="Normal" xfId="0"/>
  </x:cellStyles>
  <x:dxfs count="6">
    <x:dxf>
      <x:font>
        <x:b/>
        <x:color rgb="FFA61C00"/>
      </x:font>
      <x:fill>
        <x:patternFill patternType="solid">
          <x:bgColor rgb="FFFFE0DB"/>
        </x:patternFill>
      </x:fill>
    </x:dxf>
    <x:dxf>
      <x:font>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b127e643da748b1" /><Relationship Type="http://schemas.openxmlformats.org/officeDocument/2006/relationships/theme" Target="/xl/theme/theme1.xml" Id="Rd9f37b80561d4cdb" /><Relationship Type="http://schemas.openxmlformats.org/officeDocument/2006/relationships/sharedStrings" Target="/xl/sharedStrings.xml" Id="Re2671ab13d1c4413" /><Relationship Type="http://schemas.openxmlformats.org/officeDocument/2006/relationships/worksheet" Target="/xl/worksheets/sheet1.xml" Id="R22f4432fd431476c" /><Relationship Type="http://schemas.openxmlformats.org/officeDocument/2006/relationships/worksheet" Target="/xl/worksheets/sheet2.xml" Id="R4c2db4469e504f3e" /><Relationship Type="http://schemas.openxmlformats.org/officeDocument/2006/relationships/worksheet" Target="/xl/worksheets/sheet3.xml" Id="Rd467e6803b9b40c2" /><Relationship Type="http://schemas.openxmlformats.org/officeDocument/2006/relationships/worksheet" Target="/xl/worksheets/sheet4.xml" Id="Raaf3cc096f0949fd" /><Relationship Type="http://schemas.openxmlformats.org/officeDocument/2006/relationships/worksheet" Target="/xl/worksheets/sheet5.xml" Id="R473dd723bb584939" /><Relationship Type="http://schemas.openxmlformats.org/officeDocument/2006/relationships/worksheet" Target="/xl/worksheets/sheet6.xml" Id="Rd500460e1ff6474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B56"/>
  </x:sheetPr>
  <x:sheetViews>
    <x:sheetView showGridLines="0" workbookViewId="0"/>
  </x:sheetViews>
  <x:sheetFormatPr defaultRowHeight="15"/>
  <x:cols>
    <x:col min="1" max="1" width="2.5" hidden="0" customWidth="1"/>
    <x:col min="2" max="2" width="2.5" hidden="0" customWidth="1"/>
    <x:col min="3" max="3" width="52" hidden="0" customWidth="1"/>
    <x:col min="4" max="4" width="19" hidden="0" customWidth="1"/>
    <x:col min="5" max="5" width="3" hidden="0" customWidth="1"/>
    <x:col min="6" max="6" width="3" hidden="0" customWidth="1"/>
    <x:col min="7" max="7" width="17" hidden="0" customWidth="1"/>
    <x:col min="8" max="8" width="19" hidden="0" customWidth="1"/>
    <x:col min="9" max="9" width="19" hidden="0" customWidth="1"/>
    <x:col min="10" max="10" width="19"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row>
    <x:row r="2" ht="21" customHeight="1">
      <x:c r="A2" s="2"/>
      <x:c r="B2" s="2"/>
      <x:c r="C2" s="3" t="str">
        <x:v>Funeral home underwriting</x:v>
      </x:c>
      <x:c r="D2" s="2"/>
      <x:c r="E2" s="2"/>
      <x:c r="F2" s="2"/>
      <x:c r="G2" s="2"/>
      <x:c r="H2" s="2"/>
      <x:c r="I2" s="2"/>
      <x:c r="J2" s="2"/>
      <x:c r="K2" s="2"/>
      <x:c r="L2" s="2"/>
    </x:row>
    <x:row r="3" ht="21" customHeight="1">
      <x:c r="A3" s="2"/>
      <x:c r="B3" s="2"/>
      <x:c r="C3" s="4"/>
      <x:c r="D3" s="4"/>
      <x:c r="E3" s="4"/>
      <x:c r="F3" s="4"/>
      <x:c r="G3" s="4"/>
      <x:c r="H3" s="4"/>
      <x:c r="I3" s="4"/>
      <x:c r="J3" s="4"/>
      <x:c r="K3" s="4"/>
      <x:c r="L3" s="4"/>
      <x:c r="M3" s="5"/>
      <x:c r="N3" s="5"/>
      <x:c r="O3" s="5"/>
      <x:c r="P3" s="5"/>
      <x:c r="Q3" s="5"/>
      <x:c r="R3" s="5"/>
    </x:row>
    <x:row r="4" ht="21" customHeight="1">
      <x:c r="A4" s="2"/>
      <x:c r="B4" s="2"/>
      <x:c r="C4" s="2" t="str">
        <x:v>Jaken Finance Group</x:v>
      </x:c>
      <x:c r="D4" s="2"/>
      <x:c r="E4" s="2"/>
      <x:c r="F4" s="2"/>
      <x:c r="G4" s="2"/>
      <x:c r="H4" s="2"/>
      <x:c r="I4" s="2"/>
      <x:c r="J4" s="2"/>
      <x:c r="K4" s="2"/>
      <x:c r="L4" s="2"/>
    </x:row>
    <x:row r="5" ht="21" customHeight="1">
      <x:c r="A5" s="2"/>
      <x:c r="B5" s="2"/>
      <x:c r="C5" s="2" t="str">
        <x:v>Case selected</x:v>
      </x:c>
      <x:c r="D5" s="9" t="str">
        <x:f>'Assumptions'!D6</x:f>
        <x:v>Base</x:v>
      </x:c>
      <x:c r="E5" s="2"/>
      <x:c r="F5" s="2"/>
      <x:c r="G5" s="2" t="str">
        <x:v>Model version 1.0.0</x:v>
      </x:c>
      <x:c r="H5" s="2"/>
      <x:c r="I5" s="2"/>
      <x:c r="J5" s="2"/>
      <x:c r="K5" s="2"/>
      <x:c r="L5" s="2"/>
    </x:row>
    <x:row r="6" ht="21" customHeight="1">
      <x:c r="A6" s="2"/>
      <x:c r="B6" s="2"/>
      <x:c r="C6" s="2"/>
      <x:c r="D6" s="2"/>
      <x:c r="E6" s="2"/>
      <x:c r="F6" s="2"/>
      <x:c r="G6" s="2"/>
      <x:c r="H6" s="2"/>
      <x:c r="I6" s="2"/>
      <x:c r="J6" s="2"/>
      <x:c r="K6" s="2"/>
      <x:c r="L6" s="2"/>
    </x:row>
    <x:row r="7" ht="21" customHeight="1">
      <x:c r="A7" s="2"/>
      <x:c r="B7" s="2"/>
      <x:c r="C7" s="2" t="str">
        <x:v>Illustrative inputs. Replace with actual records and lender terms.</x:v>
      </x:c>
      <x:c r="D7" s="2"/>
      <x:c r="E7" s="2"/>
      <x:c r="F7" s="2"/>
      <x:c r="G7" s="2"/>
      <x:c r="H7" s="2"/>
      <x:c r="I7" s="2"/>
      <x:c r="J7" s="2"/>
      <x:c r="K7" s="2"/>
      <x:c r="L7" s="2"/>
    </x:row>
    <x:row r="8" ht="21" customHeight="1">
      <x:c r="A8" s="2"/>
      <x:c r="B8" s="2"/>
      <x:c r="C8" s="2"/>
      <x:c r="D8" s="2"/>
      <x:c r="E8" s="2"/>
      <x:c r="F8" s="2"/>
      <x:c r="G8" s="2"/>
      <x:c r="H8" s="2"/>
      <x:c r="I8" s="2"/>
      <x:c r="J8" s="2"/>
      <x:c r="K8" s="2"/>
      <x:c r="L8" s="2"/>
    </x:row>
    <x:row r="9" ht="30" customHeight="1">
      <x:c r="A9" s="2"/>
      <x:c r="B9" s="2"/>
      <x:c r="C9" s="21" t="str">
        <x:v>Decision measure</x:v>
      </x:c>
      <x:c r="D9" s="21" t="str">
        <x:v>Selected case</x:v>
      </x:c>
      <x:c r="E9" s="2"/>
      <x:c r="F9" s="2"/>
      <x:c r="G9" s="21" t="str">
        <x:v>Month</x:v>
      </x:c>
      <x:c r="H9" s="21" t="str">
        <x:v>Cash after debt</x:v>
      </x:c>
      <x:c r="I9" s="21" t="str">
        <x:v>Operating cash</x:v>
      </x:c>
      <x:c r="J9" s="21" t="str">
        <x:v>Debt balance</x:v>
      </x:c>
      <x:c r="K9" s="2"/>
      <x:c r="L9" s="2"/>
    </x:row>
    <x:row r="10" ht="21" customHeight="1">
      <x:c r="A10" s="2"/>
      <x:c r="B10" s="2"/>
      <x:c r="C10" s="2" t="str">
        <x:v>Business cash collections</x:v>
      </x:c>
      <x:c r="D10" s="50" t="n">
        <x:f>'Operations'!E20</x:f>
        <x:v>2424000</x:v>
      </x:c>
      <x:c r="E10" s="2"/>
      <x:c r="F10" s="2"/>
      <x:c r="G10" s="68" t="n">
        <x:f>'Operations'!G9</x:f>
        <x:v>46388</x:v>
      </x:c>
      <x:c r="H10" s="69" t="n">
        <x:f>'Debt and Funding'!G36</x:f>
        <x:v>24750</x:v>
      </x:c>
      <x:c r="I10" s="69" t="n">
        <x:f>'Debt and Funding'!G37</x:f>
        <x:v>204750</x:v>
      </x:c>
      <x:c r="J10" s="69" t="n">
        <x:f>'Debt and Funding'!G33</x:f>
        <x:v>1800000</x:v>
      </x:c>
      <x:c r="K10" s="2"/>
      <x:c r="L10" s="2"/>
    </x:row>
    <x:row r="11" ht="21" customHeight="1">
      <x:c r="A11" s="2"/>
      <x:c r="B11" s="2"/>
      <x:c r="C11" s="2" t="str">
        <x:v>Operating and other cash obligations</x:v>
      </x:c>
      <x:c r="D11" s="50" t="n">
        <x:f>'Operations'!E28</x:f>
        <x:v>2010000</x:v>
      </x:c>
      <x:c r="E11" s="2"/>
      <x:c r="F11" s="2"/>
      <x:c r="G11" s="68" t="n">
        <x:f>'Operations'!H9</x:f>
        <x:v>46419</x:v>
      </x:c>
      <x:c r="H11" s="69" t="n">
        <x:f>'Debt and Funding'!H36</x:f>
        <x:v>24750</x:v>
      </x:c>
      <x:c r="I11" s="69" t="n">
        <x:f>'Debt and Funding'!H37</x:f>
        <x:v>229500</x:v>
      </x:c>
      <x:c r="J11" s="69" t="n">
        <x:f>'Debt and Funding'!H33</x:f>
        <x:v>1800000</x:v>
      </x:c>
      <x:c r="K11" s="2"/>
      <x:c r="L11" s="2"/>
    </x:row>
    <x:row r="12" ht="21" customHeight="1">
      <x:c r="A12" s="2"/>
      <x:c r="B12" s="2"/>
      <x:c r="C12" s="2" t="str">
        <x:v>Combined cash after business obligations</x:v>
      </x:c>
      <x:c r="D12" s="50" t="n">
        <x:f>'Operations'!E29</x:f>
        <x:v>414000</x:v>
      </x:c>
      <x:c r="E12" s="2"/>
      <x:c r="F12" s="2"/>
      <x:c r="G12" s="68" t="n">
        <x:f>'Operations'!I9</x:f>
        <x:v>46447</x:v>
      </x:c>
      <x:c r="H12" s="69" t="n">
        <x:f>'Debt and Funding'!I36</x:f>
        <x:v>24750</x:v>
      </x:c>
      <x:c r="I12" s="69" t="n">
        <x:f>'Debt and Funding'!I37</x:f>
        <x:v>254250</x:v>
      </x:c>
      <x:c r="J12" s="69" t="n">
        <x:f>'Debt and Funding'!I33</x:f>
        <x:v>1800000</x:v>
      </x:c>
      <x:c r="K12" s="2"/>
      <x:c r="L12" s="2"/>
    </x:row>
    <x:row r="13" ht="21" customHeight="1">
      <x:c r="A13" s="2"/>
      <x:c r="B13" s="2"/>
      <x:c r="C13" s="2" t="str">
        <x:v>Annual reserve deposits</x:v>
      </x:c>
      <x:c r="D13" s="50" t="n">
        <x:f>'Operations'!E30</x:f>
        <x:v>0</x:v>
      </x:c>
      <x:c r="E13" s="2"/>
      <x:c r="F13" s="2"/>
      <x:c r="G13" s="68" t="n">
        <x:f>'Operations'!J9</x:f>
        <x:v>46478</x:v>
      </x:c>
      <x:c r="H13" s="69" t="n">
        <x:f>'Debt and Funding'!J36</x:f>
        <x:v>24750</x:v>
      </x:c>
      <x:c r="I13" s="69" t="n">
        <x:f>'Debt and Funding'!J37</x:f>
        <x:v>279000</x:v>
      </x:c>
      <x:c r="J13" s="69" t="n">
        <x:f>'Debt and Funding'!J33</x:f>
        <x:v>1800000</x:v>
      </x:c>
      <x:c r="K13" s="2"/>
      <x:c r="L13" s="2"/>
    </x:row>
    <x:row r="14" ht="21" customHeight="1">
      <x:c r="A14" s="2"/>
      <x:c r="B14" s="2"/>
      <x:c r="C14" s="2" t="str">
        <x:v>Cash NCF before debt and capital</x:v>
      </x:c>
      <x:c r="D14" s="50" t="n">
        <x:f>'Operations'!E31</x:f>
        <x:v>414000</x:v>
      </x:c>
      <x:c r="E14" s="2"/>
      <x:c r="F14" s="2"/>
      <x:c r="G14" s="68" t="n">
        <x:f>'Operations'!K9</x:f>
        <x:v>46508</x:v>
      </x:c>
      <x:c r="H14" s="69" t="n">
        <x:f>'Debt and Funding'!K36</x:f>
        <x:v>-50250</x:v>
      </x:c>
      <x:c r="I14" s="69" t="n">
        <x:f>'Debt and Funding'!K37</x:f>
        <x:v>228750</x:v>
      </x:c>
      <x:c r="J14" s="69" t="n">
        <x:f>'Debt and Funding'!K33</x:f>
        <x:v>1800000</x:v>
      </x:c>
      <x:c r="K14" s="2"/>
      <x:c r="L14" s="2"/>
    </x:row>
    <x:row r="15" ht="21" customHeight="1">
      <x:c r="A15" s="2"/>
      <x:c r="B15" s="2"/>
      <x:c r="C15" s="2" t="str">
        <x:v>Residual cash used for sizing</x:v>
      </x:c>
      <x:c r="D15" s="50" t="n">
        <x:f>'Debt and Funding'!D9</x:f>
        <x:v>414000</x:v>
      </x:c>
      <x:c r="E15" s="2"/>
      <x:c r="F15" s="2"/>
      <x:c r="G15" s="68" t="n">
        <x:f>'Operations'!L9</x:f>
        <x:v>46539</x:v>
      </x:c>
      <x:c r="H15" s="69" t="n">
        <x:f>'Debt and Funding'!L36</x:f>
        <x:v>24750</x:v>
      </x:c>
      <x:c r="I15" s="69" t="n">
        <x:f>'Debt and Funding'!L37</x:f>
        <x:v>253500</x:v>
      </x:c>
      <x:c r="J15" s="69" t="n">
        <x:f>'Debt and Funding'!L33</x:f>
        <x:v>1800000</x:v>
      </x:c>
      <x:c r="K15" s="2"/>
      <x:c r="L15" s="2"/>
    </x:row>
    <x:row r="16" ht="21" customHeight="1">
      <x:c r="A16" s="2"/>
      <x:c r="B16" s="2"/>
      <x:c r="C16" s="2" t="str">
        <x:v>DSCR loan capacity</x:v>
      </x:c>
      <x:c r="D16" s="50" t="n">
        <x:f>'Debt and Funding'!D11</x:f>
        <x:v>4087634.3706001784</x:v>
      </x:c>
      <x:c r="E16" s="2"/>
      <x:c r="F16" s="2"/>
      <x:c r="G16" s="68" t="n">
        <x:f>'Operations'!M9</x:f>
        <x:v>46569</x:v>
      </x:c>
      <x:c r="H16" s="69" t="n">
        <x:f>'Debt and Funding'!M36</x:f>
        <x:v>22346.27109574245</x:v>
      </x:c>
      <x:c r="I16" s="69" t="n">
        <x:f>'Debt and Funding'!M37</x:f>
        <x:v>275846.2710957425</x:v>
      </x:c>
      <x:c r="J16" s="69" t="n">
        <x:f>'Debt and Funding'!M33</x:f>
        <x:v>1797596.2710957425</x:v>
      </x:c>
      <x:c r="K16" s="2"/>
      <x:c r="L16" s="2"/>
    </x:row>
    <x:row r="17" ht="21" customHeight="1">
      <x:c r="A17" s="2"/>
      <x:c r="B17" s="2"/>
      <x:c r="C17" s="2" t="str">
        <x:v>LTV loan capacity</x:v>
      </x:c>
      <x:c r="D17" s="50" t="n">
        <x:f>'Debt and Funding'!D12</x:f>
        <x:v>1950000</x:v>
      </x:c>
      <x:c r="E17" s="2"/>
      <x:c r="F17" s="2"/>
      <x:c r="G17" s="68" t="n">
        <x:f>'Operations'!N9</x:f>
        <x:v>46600</x:v>
      </x:c>
      <x:c r="H17" s="69" t="n">
        <x:f>'Debt and Funding'!N36</x:f>
        <x:v>22346.27109574245</x:v>
      </x:c>
      <x:c r="I17" s="69" t="n">
        <x:f>'Debt and Funding'!N37</x:f>
        <x:v>298192.54219148494</x:v>
      </x:c>
      <x:c r="J17" s="69" t="n">
        <x:f>'Debt and Funding'!N33</x:f>
        <x:v>1795179.5219932536</x:v>
      </x:c>
      <x:c r="K17" s="2"/>
      <x:c r="L17" s="2"/>
    </x:row>
    <x:row r="18" ht="21" customHeight="1">
      <x:c r="A18" s="2"/>
      <x:c r="B18" s="2"/>
      <x:c r="C18" s="2" t="str">
        <x:v>Debt-yield loan capacity</x:v>
      </x:c>
      <x:c r="D18" s="50" t="n">
        <x:f>'Debt and Funding'!D13</x:f>
        <x:v>4600000</x:v>
      </x:c>
      <x:c r="E18" s="2"/>
      <x:c r="F18" s="2"/>
      <x:c r="G18" s="68" t="n">
        <x:f>'Operations'!O9</x:f>
        <x:v>46631</x:v>
      </x:c>
      <x:c r="H18" s="69" t="n">
        <x:f>'Debt and Funding'!O36</x:f>
        <x:v>22346.27109574245</x:v>
      </x:c>
      <x:c r="I18" s="69" t="n">
        <x:f>'Debt and Funding'!O37</x:f>
        <x:v>320538.8132872274</x:v>
      </x:c>
      <x:c r="J18" s="69" t="n">
        <x:f>'Debt and Funding'!O33</x:f>
        <x:v>1792749.6821664595</x:v>
      </x:c>
      <x:c r="K18" s="2"/>
      <x:c r="L18" s="2"/>
    </x:row>
    <x:row r="19" ht="21" customHeight="1">
      <x:c r="A19" s="2"/>
      <x:c r="B19" s="2"/>
      <x:c r="C19" s="56" t="str">
        <x:v>Sized loan</x:v>
      </x:c>
      <x:c r="D19" s="65" t="n">
        <x:f>'Debt and Funding'!D14</x:f>
        <x:v>1800000</x:v>
      </x:c>
      <x:c r="E19" s="2"/>
      <x:c r="F19" s="2"/>
      <x:c r="G19" s="68" t="n">
        <x:f>'Operations'!P9</x:f>
        <x:v>46661</x:v>
      </x:c>
      <x:c r="H19" s="69" t="n">
        <x:f>'Debt and Funding'!P36</x:f>
        <x:v>22346.27109574245</x:v>
      </x:c>
      <x:c r="I19" s="69" t="n">
        <x:f>'Debt and Funding'!P37</x:f>
        <x:v>342885.0843829699</x:v>
      </x:c>
      <x:c r="J19" s="69" t="n">
        <x:f>'Debt and Funding'!P33</x:f>
        <x:v>1790306.6807072703</x:v>
      </x:c>
      <x:c r="K19" s="2"/>
      <x:c r="L19" s="2"/>
    </x:row>
    <x:row r="20" ht="21" customHeight="1">
      <x:c r="A20" s="2"/>
      <x:c r="B20" s="2"/>
      <x:c r="C20" s="2" t="str">
        <x:v>Binding constraint (ties may exist)</x:v>
      </x:c>
      <x:c r="D20" s="66" t="str">
        <x:f>'Debt and Funding'!D15</x:f>
        <x:v>Requested ceiling</x:v>
      </x:c>
      <x:c r="E20" s="2"/>
      <x:c r="F20" s="2"/>
      <x:c r="G20" s="68" t="n">
        <x:f>'Operations'!Q9</x:f>
        <x:v>46692</x:v>
      </x:c>
      <x:c r="H20" s="69" t="n">
        <x:f>'Debt and Funding'!Q36</x:f>
        <x:v>22346.27109574245</x:v>
      </x:c>
      <x:c r="I20" s="69" t="n">
        <x:f>'Debt and Funding'!Q37</x:f>
        <x:v>365231.35547871236</x:v>
      </x:c>
      <x:c r="J20" s="69" t="n">
        <x:f>'Debt and Funding'!Q33</x:f>
        <x:v>1787850.4463235105</x:v>
      </x:c>
      <x:c r="K20" s="2"/>
      <x:c r="L20" s="2"/>
    </x:row>
    <x:row r="21" ht="21" customHeight="1">
      <x:c r="A21" s="2"/>
      <x:c r="B21" s="2"/>
      <x:c r="C21" s="2" t="str">
        <x:v>First-year debt service</x:v>
      </x:c>
      <x:c r="D21" s="50" t="n">
        <x:f>'Debt and Funding'!D43</x:f>
        <x:v>131422.37342554535</x:v>
      </x:c>
      <x:c r="E21" s="2"/>
      <x:c r="F21" s="2"/>
      <x:c r="G21" s="68" t="n">
        <x:f>'Operations'!R9</x:f>
        <x:v>46722</x:v>
      </x:c>
      <x:c r="H21" s="69" t="n">
        <x:f>'Debt and Funding'!R36</x:f>
        <x:v>22346.27109574245</x:v>
      </x:c>
      <x:c r="I21" s="69" t="n">
        <x:f>'Debt and Funding'!R37</x:f>
        <x:v>387577.6265744548</x:v>
      </x:c>
      <x:c r="J21" s="69" t="n">
        <x:f>'Debt and Funding'!R33</x:f>
        <x:v>1785380.9073368385</x:v>
      </x:c>
      <x:c r="K21" s="2"/>
      <x:c r="L21" s="2"/>
    </x:row>
    <x:row r="22" ht="21" customHeight="1">
      <x:c r="A22" s="2"/>
      <x:c r="B22" s="2"/>
      <x:c r="C22" s="2" t="str">
        <x:v>Residual cash / property debt service</x:v>
      </x:c>
      <x:c r="D22" s="67" t="n">
        <x:f>'Debt and Funding'!D44</x:f>
        <x:v>3.150148556969588</x:v>
      </x:c>
      <x:c r="E22" s="2"/>
      <x:c r="F22" s="2"/>
      <x:c r="G22" s="2"/>
      <x:c r="H22" s="2"/>
      <x:c r="I22" s="2"/>
      <x:c r="J22" s="2"/>
      <x:c r="K22" s="2"/>
      <x:c r="L22" s="2"/>
    </x:row>
    <x:row r="23" ht="21" customHeight="1">
      <x:c r="A23" s="2"/>
      <x:c r="B23" s="2"/>
      <x:c r="C23" s="2" t="str">
        <x:v>Signed closing equity requirement</x:v>
      </x:c>
      <x:c r="D23" s="50" t="n">
        <x:f>'Debt and Funding'!D18</x:f>
        <x:v>1320000</x:v>
      </x:c>
      <x:c r="E23" s="2"/>
      <x:c r="F23" s="2"/>
      <x:c r="G23" s="2"/>
      <x:c r="H23" s="2"/>
      <x:c r="I23" s="2"/>
      <x:c r="J23" s="2"/>
      <x:c r="K23" s="2"/>
      <x:c r="L23" s="2"/>
    </x:row>
    <x:row r="24" ht="21" customHeight="1">
      <x:c r="A24" s="2"/>
      <x:c r="B24" s="2"/>
      <x:c r="C24" s="2" t="str">
        <x:v>Available equity less closing need</x:v>
      </x:c>
      <x:c r="D24" s="50" t="n">
        <x:f>'Debt and Funding'!D19</x:f>
        <x:v>180000</x:v>
      </x:c>
      <x:c r="E24" s="2"/>
      <x:c r="F24" s="2"/>
      <x:c r="G24" s="2"/>
      <x:c r="H24" s="2"/>
      <x:c r="I24" s="2"/>
      <x:c r="J24" s="2"/>
      <x:c r="K24" s="2"/>
      <x:c r="L24" s="2"/>
    </x:row>
    <x:row r="25" ht="21" customHeight="1">
      <x:c r="A25" s="2"/>
      <x:c r="B25" s="2"/>
      <x:c r="C25" s="2" t="str">
        <x:v>Additional operating cash need</x:v>
      </x:c>
      <x:c r="D25" s="50" t="n">
        <x:f>'Debt and Funding'!D46</x:f>
        <x:v>0</x:v>
      </x:c>
      <x:c r="E25" s="2"/>
      <x:c r="F25" s="2"/>
      <x:c r="G25" s="2" t="str">
        <x:v>Start with Assumptions D5: 1 Base or 2 Downside.</x:v>
      </x:c>
      <x:c r="H25" s="2"/>
      <x:c r="I25" s="2"/>
      <x:c r="J25" s="2"/>
      <x:c r="K25" s="2"/>
      <x:c r="L25" s="2"/>
    </x:row>
    <x:row r="26" ht="21" customHeight="1">
      <x:c r="A26" s="2"/>
      <x:c r="B26" s="2"/>
      <x:c r="C26" s="56" t="str">
        <x:v>Sponsor cash after all modeled needs</x:v>
      </x:c>
      <x:c r="D26" s="65" t="n">
        <x:f>'Debt and Funding'!D47</x:f>
        <x:v>180000</x:v>
      </x:c>
      <x:c r="E26" s="2"/>
      <x:c r="F26" s="2"/>
      <x:c r="G26" s="2"/>
      <x:c r="H26" s="2"/>
      <x:c r="I26" s="2"/>
      <x:c r="J26" s="2"/>
      <x:c r="K26" s="2"/>
      <x:c r="L26" s="2"/>
    </x:row>
    <x:row r="27" ht="21" customHeight="1">
      <x:c r="A27" s="2"/>
      <x:c r="B27" s="2"/>
      <x:c r="C27" s="2" t="str">
        <x:v>Year-end principal</x:v>
      </x:c>
      <x:c r="D27" s="50" t="n">
        <x:f>'Debt and Funding'!D45</x:f>
        <x:v>1785380.9073368385</x:v>
      </x:c>
      <x:c r="E27" s="2"/>
      <x:c r="F27" s="2"/>
      <x:c r="G27" s="2" t="str">
        <x:v>Edit blue cells in Services and Restricted Cash and Assumptions.</x:v>
      </x:c>
      <x:c r="H27" s="2"/>
      <x:c r="I27" s="2"/>
      <x:c r="J27" s="2"/>
      <x:c r="K27" s="2"/>
      <x:c r="L27" s="2"/>
    </x:row>
    <x:row r="28" ht="21" customHeight="1">
      <x:c r="A28" s="2"/>
      <x:c r="B28" s="2"/>
      <x:c r="C28" s="2" t="str">
        <x:v>Principal due at maturity</x:v>
      </x:c>
      <x:c r="D28" s="50" t="n">
        <x:f>'Debt and Funding'!D20</x:f>
        <x:v>1649689.7491266897</x:v>
      </x:c>
      <x:c r="E28" s="2"/>
      <x:c r="F28" s="2"/>
      <x:c r="G28" s="2"/>
      <x:c r="H28" s="2"/>
      <x:c r="I28" s="2"/>
      <x:c r="J28" s="2"/>
      <x:c r="K28" s="2"/>
      <x:c r="L28" s="2"/>
    </x:row>
    <x:row r="29" ht="21" customHeight="1">
      <x:c r="A29" s="2"/>
      <x:c r="B29" s="2"/>
      <x:c r="C29" s="2"/>
      <x:c r="D29" s="2"/>
      <x:c r="E29" s="2"/>
      <x:c r="F29" s="2"/>
      <x:c r="G29" s="2" t="str">
        <x:v>Trace monthly operations into Debt and Funding.</x:v>
      </x:c>
      <x:c r="H29" s="2"/>
      <x:c r="I29" s="2"/>
      <x:c r="J29" s="2"/>
      <x:c r="K29" s="2"/>
      <x:c r="L29" s="2"/>
    </x:row>
    <x:row r="30" ht="21" customHeight="1">
      <x:c r="A30" s="2"/>
      <x:c r="B30" s="2"/>
      <x:c r="C30" s="2"/>
      <x:c r="D30" s="2"/>
      <x:c r="E30" s="2"/>
      <x:c r="F30" s="2"/>
      <x:c r="G30" s="2"/>
      <x:c r="H30" s="2"/>
      <x:c r="I30" s="2"/>
      <x:c r="J30" s="2"/>
      <x:c r="K30" s="2"/>
      <x:c r="L30" s="2"/>
    </x:row>
    <x:row r="31" ht="21" customHeight="1">
      <x:c r="A31" s="2"/>
      <x:c r="B31" s="2"/>
      <x:c r="C31" s="2"/>
      <x:c r="D31" s="2"/>
      <x:c r="E31" s="2"/>
      <x:c r="F31" s="2"/>
      <x:c r="G31" s="2" t="str">
        <x:v>Review unavailable outputs and the Review checks.</x:v>
      </x:c>
      <x:c r="H31" s="2"/>
      <x:c r="I31" s="2"/>
      <x:c r="J31" s="2"/>
      <x:c r="K31" s="2"/>
      <x:c r="L31" s="2"/>
    </x:row>
    <x:row r="32" ht="21" customHeight="1">
      <x:c r="A32" s="2"/>
      <x:c r="B32" s="2"/>
      <x:c r="C32" s="2"/>
      <x:c r="D32" s="2"/>
      <x:c r="E32" s="2"/>
      <x:c r="F32" s="2"/>
      <x:c r="G32" s="2"/>
      <x:c r="H32" s="2"/>
      <x:c r="I32" s="2"/>
      <x:c r="J32" s="2"/>
      <x:c r="K32" s="2"/>
      <x:c r="L32" s="2"/>
    </x:row>
    <x:row r="33" ht="21" customHeight="1">
      <x:c r="A33" s="2"/>
      <x:c r="B33" s="2"/>
      <x:c r="C33" s="2"/>
      <x:c r="D33" s="2"/>
      <x:c r="E33" s="2"/>
      <x:c r="F33" s="2"/>
      <x:c r="G33" s="2" t="str">
        <x:v>Sizing is quantitative capacity, subject to actual lender approval.</x:v>
      </x:c>
      <x:c r="H33" s="2"/>
      <x:c r="I33" s="2"/>
      <x:c r="J33" s="2"/>
      <x:c r="K33" s="2"/>
      <x:c r="L33" s="2"/>
    </x:row>
    <x:row r="34" ht="21" customHeight="1">
      <x:c r="A34" s="2"/>
      <x:c r="B34" s="2"/>
      <x:c r="C34" s="2"/>
      <x:c r="D34" s="2"/>
      <x:c r="E34" s="2"/>
      <x:c r="F34" s="2"/>
      <x:c r="G34" s="2"/>
      <x:c r="H34" s="2"/>
      <x:c r="I34" s="2"/>
      <x:c r="J34" s="2"/>
      <x:c r="K34" s="2"/>
      <x:c r="L34" s="2"/>
    </x:row>
    <x:row r="35" ht="21" customHeight="1">
      <x:c r="A35" s="2"/>
      <x:c r="B35" s="2"/>
      <x:c r="C35" s="2"/>
      <x:c r="D35" s="2"/>
      <x:c r="E35" s="2"/>
      <x:c r="F35" s="2"/>
      <x:c r="G35" s="2"/>
      <x:c r="H35" s="2"/>
      <x:c r="I35" s="2"/>
      <x:c r="J35" s="2"/>
      <x:c r="K35" s="2"/>
      <x:c r="L35" s="2"/>
    </x:row>
    <x:row r="36" ht="21" customHeight="1">
      <x:c r="A36" s="2"/>
      <x:c r="B36" s="2"/>
      <x:c r="C36" s="2"/>
      <x:c r="D36" s="2"/>
      <x:c r="E36" s="2"/>
      <x:c r="F36" s="2"/>
      <x:c r="G36" s="2"/>
      <x:c r="H36" s="2"/>
      <x:c r="I36" s="2"/>
      <x:c r="J36" s="2"/>
      <x:c r="K36" s="2"/>
      <x:c r="L36" s="2"/>
    </x:row>
    <x:row r="37" ht="21" customHeight="1">
      <x:c r="A37" s="2"/>
      <x:c r="B37" s="2"/>
      <x:c r="C37" s="2"/>
      <x:c r="D37" s="2"/>
      <x:c r="E37" s="2"/>
      <x:c r="F37" s="2"/>
      <x:c r="G37" s="2"/>
      <x:c r="H37" s="2"/>
      <x:c r="I37" s="2"/>
      <x:c r="J37" s="2"/>
      <x:c r="K37" s="2"/>
      <x:c r="L37" s="2"/>
    </x:row>
    <x:row r="38" ht="21" customHeight="1">
      <x:c r="A38" s="2"/>
      <x:c r="B38" s="2"/>
      <x:c r="C38" s="2"/>
      <x:c r="D38" s="2"/>
      <x:c r="E38" s="2"/>
      <x:c r="F38" s="2"/>
      <x:c r="G38" s="2"/>
      <x:c r="H38" s="2"/>
      <x:c r="I38" s="2"/>
      <x:c r="J38" s="2"/>
      <x:c r="K38" s="2"/>
      <x:c r="L38" s="2"/>
    </x:row>
    <x:row r="39" ht="21" customHeight="1">
      <x:c r="A39" s="2"/>
      <x:c r="B39" s="2"/>
      <x:c r="C39" s="2"/>
      <x:c r="D39" s="2"/>
      <x:c r="E39" s="2"/>
      <x:c r="F39" s="2"/>
      <x:c r="G39" s="2"/>
      <x:c r="H39" s="2"/>
      <x:c r="I39" s="2"/>
      <x:c r="J39" s="2"/>
      <x:c r="K39" s="2"/>
      <x:c r="L39" s="2"/>
    </x:row>
    <x:row r="40" ht="21" customHeight="1">
      <x:c r="A40" s="2"/>
      <x:c r="B40" s="2"/>
      <x:c r="C40" s="2"/>
      <x:c r="D40" s="2"/>
      <x:c r="E40" s="2"/>
      <x:c r="F40" s="2"/>
      <x:c r="G40" s="2"/>
      <x:c r="H40" s="2"/>
      <x:c r="I40" s="2"/>
      <x:c r="J40" s="2"/>
      <x:c r="K40" s="2"/>
      <x:c r="L40" s="2"/>
    </x:row>
    <x:row r="41" ht="21" customHeight="1">
      <x:c r="A41" s="2"/>
      <x:c r="B41" s="2"/>
      <x:c r="C41" s="2"/>
      <x:c r="D41" s="2"/>
      <x:c r="E41" s="2"/>
      <x:c r="F41" s="2"/>
      <x:c r="G41" s="2"/>
      <x:c r="H41" s="2"/>
      <x:c r="I41" s="2"/>
      <x:c r="J41" s="2"/>
      <x:c r="K41" s="2"/>
      <x:c r="L41" s="2"/>
    </x:row>
    <x:row r="42" ht="21" customHeight="1">
      <x:c r="A42" s="2"/>
      <x:c r="B42" s="2"/>
      <x:c r="C42" s="2"/>
      <x:c r="D42" s="2"/>
      <x:c r="E42" s="2"/>
      <x:c r="F42" s="2"/>
      <x:c r="G42" s="2"/>
      <x:c r="H42" s="2"/>
      <x:c r="I42" s="2"/>
      <x:c r="J42" s="2"/>
      <x:c r="K42" s="2"/>
      <x:c r="L42" s="2"/>
    </x:row>
    <x:row r="43" ht="21" customHeight="1">
      <x:c r="A43" s="2"/>
      <x:c r="B43" s="2"/>
      <x:c r="C43" s="2"/>
      <x:c r="D43" s="2"/>
      <x:c r="E43" s="2"/>
      <x:c r="F43" s="2"/>
      <x:c r="G43" s="2"/>
      <x:c r="H43" s="2"/>
      <x:c r="I43" s="2"/>
      <x:c r="J43" s="2"/>
      <x:c r="K43" s="2"/>
      <x:c r="L43" s="2"/>
    </x:row>
    <x:row r="44" ht="21" customHeight="1">
      <x:c r="A44" s="2"/>
      <x:c r="B44" s="2"/>
      <x:c r="C44" s="2"/>
      <x:c r="D44" s="2"/>
      <x:c r="E44" s="2"/>
      <x:c r="F44" s="2"/>
      <x:c r="G44" s="2"/>
      <x:c r="H44" s="2"/>
      <x:c r="I44" s="2"/>
      <x:c r="J44" s="2"/>
      <x:c r="K44" s="2"/>
      <x:c r="L44" s="2"/>
    </x:row>
    <x:row r="45" ht="21" customHeight="1">
      <x:c r="A45" s="2"/>
      <x:c r="B45" s="2"/>
      <x:c r="C45" s="2"/>
      <x:c r="D45" s="2"/>
      <x:c r="E45" s="2"/>
      <x:c r="F45" s="2"/>
      <x:c r="G45" s="2"/>
      <x:c r="H45" s="2"/>
      <x:c r="I45" s="2"/>
      <x:c r="J45" s="2"/>
      <x:c r="K45" s="2"/>
      <x:c r="L45" s="2"/>
    </x:row>
    <x:row r="46" ht="21" customHeight="1">
      <x:c r="A46" s="2"/>
      <x:c r="B46" s="2"/>
      <x:c r="C46" s="2"/>
      <x:c r="D46" s="2"/>
      <x:c r="E46" s="2"/>
      <x:c r="F46" s="2"/>
      <x:c r="G46" s="2"/>
      <x:c r="H46" s="2"/>
      <x:c r="I46" s="2"/>
      <x:c r="J46" s="2"/>
      <x:c r="K46" s="2"/>
      <x:c r="L46" s="2"/>
    </x:row>
    <x:row r="47" ht="21" customHeight="1">
      <x:c r="A47" s="2"/>
      <x:c r="B47" s="2"/>
      <x:c r="C47" s="2"/>
      <x:c r="D47" s="2"/>
      <x:c r="E47" s="2"/>
      <x:c r="F47" s="2"/>
      <x:c r="G47" s="2"/>
      <x:c r="H47" s="2"/>
      <x:c r="I47" s="2"/>
      <x:c r="J47" s="2"/>
      <x:c r="K47" s="2"/>
      <x:c r="L47" s="2"/>
    </x:row>
    <x:row r="48" ht="21" customHeight="1">
      <x:c r="A48" s="2"/>
      <x:c r="B48" s="2"/>
      <x:c r="C48" s="2"/>
      <x:c r="D48" s="2"/>
      <x:c r="E48" s="2"/>
      <x:c r="F48" s="2"/>
      <x:c r="G48" s="2"/>
      <x:c r="H48" s="2"/>
      <x:c r="I48" s="2"/>
      <x:c r="J48" s="2"/>
      <x:c r="K48" s="2"/>
      <x:c r="L48" s="2"/>
    </x:row>
    <x:row r="49" ht="21" customHeight="1">
      <x:c r="A49" s="2"/>
      <x:c r="B49" s="2"/>
      <x:c r="C49" s="2"/>
      <x:c r="D49" s="2"/>
      <x:c r="E49" s="2"/>
      <x:c r="F49" s="2"/>
      <x:c r="G49" s="2"/>
      <x:c r="H49" s="2"/>
      <x:c r="I49" s="2"/>
      <x:c r="J49" s="2"/>
      <x:c r="K49" s="2"/>
      <x:c r="L49" s="2"/>
    </x:row>
    <x:row r="50" ht="21" customHeight="1">
      <x:c r="A50" s="2"/>
      <x:c r="B50" s="2"/>
      <x:c r="C50" s="2"/>
      <x:c r="D50" s="2"/>
      <x:c r="E50" s="2"/>
      <x:c r="F50" s="2"/>
      <x:c r="G50" s="2"/>
      <x:c r="H50" s="2"/>
      <x:c r="I50" s="2"/>
      <x:c r="J50" s="2"/>
      <x:c r="K50" s="2"/>
      <x:c r="L50" s="2"/>
    </x:row>
    <x:row r="51" ht="21" customHeight="1">
      <x:c r="A51" s="2"/>
      <x:c r="B51" s="2"/>
      <x:c r="C51" s="2"/>
      <x:c r="D51" s="2"/>
      <x:c r="E51" s="2"/>
      <x:c r="F51" s="2"/>
      <x:c r="G51" s="2"/>
      <x:c r="H51" s="2"/>
      <x:c r="I51" s="2"/>
      <x:c r="J51" s="2"/>
      <x:c r="K51" s="2"/>
      <x:c r="L51" s="2"/>
    </x:row>
    <x:row r="52" ht="21" customHeight="1">
      <x:c r="A52" s="2"/>
      <x:c r="B52" s="2"/>
      <x:c r="C52" s="2"/>
      <x:c r="D52" s="2"/>
      <x:c r="E52" s="2"/>
      <x:c r="F52" s="2"/>
      <x:c r="G52" s="2"/>
      <x:c r="H52" s="2"/>
      <x:c r="I52" s="2"/>
      <x:c r="J52" s="2"/>
      <x:c r="K52" s="2"/>
      <x:c r="L52" s="2"/>
    </x:row>
    <x:row r="53" ht="21" customHeight="1">
      <x:c r="A53" s="2"/>
      <x:c r="B53" s="2"/>
      <x:c r="C53" s="2"/>
      <x:c r="D53" s="2"/>
      <x:c r="E53" s="2"/>
      <x:c r="F53" s="2"/>
      <x:c r="G53" s="2"/>
      <x:c r="H53" s="2"/>
      <x:c r="I53" s="2"/>
      <x:c r="J53" s="2"/>
      <x:c r="K53" s="2"/>
      <x:c r="L53" s="2"/>
    </x:row>
    <x:row r="54" ht="21" customHeight="1">
      <x:c r="A54" s="2"/>
      <x:c r="B54" s="2"/>
      <x:c r="C54" s="2"/>
      <x:c r="D54" s="2"/>
      <x:c r="E54" s="2"/>
      <x:c r="F54" s="2"/>
      <x:c r="G54" s="2"/>
      <x:c r="H54" s="2"/>
      <x:c r="I54" s="2"/>
      <x:c r="J54" s="2"/>
      <x:c r="K54" s="2"/>
      <x:c r="L54" s="2"/>
    </x:row>
    <x:row r="55" ht="21" customHeight="1">
      <x:c r="A55" s="2"/>
      <x:c r="B55" s="2"/>
      <x:c r="C55" s="2"/>
      <x:c r="D55" s="2"/>
      <x:c r="E55" s="2"/>
      <x:c r="F55" s="2"/>
      <x:c r="G55" s="2"/>
      <x:c r="H55" s="2"/>
      <x:c r="I55" s="2"/>
      <x:c r="J55" s="2"/>
      <x:c r="K55" s="2"/>
      <x:c r="L55" s="2"/>
    </x:row>
  </x:sheetData>
  <x:conditionalFormatting sqref="D14:D14">
    <x:cfRule type="cellIs" dxfId="2" priority="1" operator="lessThan">
      <x:formula>0</x:formula>
    </x:cfRule>
  </x:conditionalFormatting>
  <x:conditionalFormatting sqref="D24:D24">
    <x:cfRule type="cellIs" dxfId="3" priority="2" operator="lessThan">
      <x:formula>0</x:formula>
    </x:cfRule>
  </x:conditionalFormatting>
  <x:conditionalFormatting sqref="D26:D26">
    <x:cfRule type="cellIs" dxfId="4" priority="3" operator="lessThan">
      <x:formula>0</x:formula>
    </x:cfRule>
  </x:conditionalFormatting>
  <x:pageMargins left="0.7" right="0.7" top="0.75" bottom="0.75" header="0.3" footer="0.3"/>
</x:worksheet>
</file>

<file path=xl/worksheets/sheet2.xml><?xml version="1.0" encoding="utf-8"?>
<x:worksheet xmlns:x="http://schemas.openxmlformats.org/spreadsheetml/2006/main">
  <x:sheetPr>
    <x:tabColor rgb="FF51768A"/>
  </x:sheetPr>
  <x:sheetViews>
    <x:sheetView showGridLines="0" workbookViewId="0">
      <x:pane ySplit="9" topLeftCell="A10" activePane="bottomLeft" state="frozen"/>
    </x:sheetView>
  </x:sheetViews>
  <x:sheetFormatPr defaultRowHeight="15"/>
  <x:cols>
    <x:col min="1" max="1" width="2.5" hidden="0" customWidth="1"/>
    <x:col min="2" max="2" width="2.5" hidden="0" customWidth="1"/>
    <x:col min="3" max="3" width="48" hidden="0" customWidth="1"/>
    <x:col min="4" max="4" width="18" hidden="0" customWidth="1"/>
    <x:col min="5" max="5" width="15" hidden="0" customWidth="1"/>
    <x:col min="6" max="6" width="3" hidden="0" customWidth="1"/>
    <x:col min="7" max="7" width="65"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Assumptions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selector (1 Base, 2 Downside)</x:v>
      </x:c>
      <x:c r="D5" s="12" t="n">
        <x:v>1</x:v>
      </x:c>
      <x:c r="E5" s="2"/>
      <x:c r="F5" s="2"/>
      <x:c r="G5" s="2" t="str">
        <x:v>Source: all numbers are illustrative teaching assumptions.</x:v>
      </x:c>
      <x:c r="H5" s="2"/>
      <x:c r="I5" s="2"/>
      <x:c r="J5" s="2"/>
    </x:row>
    <x:row r="6" ht="21" customHeight="1">
      <x:c r="A6" s="2"/>
      <x:c r="B6" s="2"/>
      <x:c r="C6" s="2"/>
      <x:c r="D6" s="13" t="str">
        <x:f>IF(D5=1,"Base",IF(D5=2,"Downside","Select 1 or 2"))</x:f>
        <x:v>Base</x:v>
      </x:c>
      <x:c r="E6" s="2"/>
      <x:c r="F6" s="2"/>
      <x:c r="G6" s="2" t="str">
        <x:v>Blue text / amber fill: editable. Black: formula. Green: linked.</x:v>
      </x:c>
      <x:c r="H6" s="2"/>
      <x:c r="I6" s="2"/>
      <x:c r="J6" s="2"/>
    </x:row>
    <x:row r="7" ht="21" customHeight="1">
      <x:c r="A7" s="2"/>
      <x:c r="B7" s="2"/>
      <x:c r="C7" s="2" t="str">
        <x:v>Illustrative calendar year</x:v>
      </x:c>
      <x:c r="D7" s="17" t="n">
        <x:v>2027</x:v>
      </x:c>
      <x:c r="E7" s="2"/>
      <x:c r="F7" s="2"/>
      <x:c r="G7" s="2" t="str">
        <x:v>Enter percentages as Excel percentages (6.5% = 0.065).</x:v>
      </x:c>
      <x:c r="H7" s="2"/>
      <x:c r="I7" s="2"/>
      <x:c r="J7" s="2"/>
    </x:row>
    <x:row r="8" ht="21" customHeight="1">
      <x:c r="A8" s="2"/>
      <x:c r="B8" s="2"/>
      <x:c r="C8" s="2"/>
      <x:c r="D8" s="2"/>
      <x:c r="E8" s="2"/>
      <x:c r="F8" s="2"/>
      <x:c r="G8" s="2"/>
      <x:c r="H8" s="2"/>
      <x:c r="I8" s="2"/>
      <x:c r="J8" s="2"/>
    </x:row>
    <x:row r="9" ht="30" customHeight="1">
      <x:c r="A9" s="2"/>
      <x:c r="B9" s="2"/>
      <x:c r="C9" s="21" t="str">
        <x:v>Driver and selected value</x:v>
      </x:c>
      <x:c r="D9" s="21" t="str">
        <x:v>Value</x:v>
      </x:c>
      <x:c r="E9" s="21" t="str">
        <x:v>Unit</x:v>
      </x:c>
      <x:c r="F9" s="2"/>
      <x:c r="G9" s="2"/>
      <x:c r="H9" s="2"/>
      <x:c r="I9" s="2"/>
      <x:c r="J9" s="2"/>
    </x:row>
    <x:row r="10" ht="35" customHeight="1">
      <x:c r="A10" s="2"/>
      <x:c r="B10" s="2"/>
      <x:c r="C10" s="24" t="str">
        <x:v>Real estate collateral value</x:v>
      </x:c>
      <x:c r="D10" s="26" t="n">
        <x:f>IF($D$5=1,IF(ISNUMBER(D11),IF(AND(D11&gt;=0,D11&lt;=1000000000000),D11,"n.a."),"n.a."),IF($D$5=2,IF(ISNUMBER(D12),IF(AND(D12&gt;=0,D12&lt;=1000000000000),D12,"n.a."),"n.a."),"n.a."))</x:f>
        <x:v>3000000</x:v>
      </x:c>
      <x:c r="E10" s="22" t="str">
        <x:v>USD</x:v>
      </x:c>
      <x:c r="F10" s="2"/>
      <x:c r="G10" s="42" t="str">
        <x:v>All costs are positive inputs; calculated cash shortfalls remain negative.</x:v>
      </x:c>
      <x:c r="H10" s="2"/>
      <x:c r="I10" s="2"/>
      <x:c r="J10" s="2"/>
    </x:row>
    <x:row r="11" ht="21" customHeight="1">
      <x:c r="A11" s="2"/>
      <x:c r="B11" s="2"/>
      <x:c r="C11" s="28" t="str">
        <x:v>Base</x:v>
      </x:c>
      <x:c r="D11" s="27" t="n">
        <x:v>3000000</x:v>
      </x:c>
      <x:c r="E11" s="2"/>
      <x:c r="F11" s="2"/>
      <x:c r="G11" s="2"/>
      <x:c r="H11" s="2"/>
      <x:c r="I11" s="2"/>
      <x:c r="J11" s="2"/>
    </x:row>
    <x:row r="12" ht="35" customHeight="1">
      <x:c r="A12" s="2"/>
      <x:c r="B12" s="2"/>
      <x:c r="C12" s="28" t="str">
        <x:v>Downside</x:v>
      </x:c>
      <x:c r="D12" s="27" t="n">
        <x:v>2500000</x:v>
      </x:c>
      <x:c r="E12" s="2"/>
      <x:c r="F12" s="2"/>
      <x:c r="G12" s="42" t="str">
        <x:v>Missing or invalid selected inputs return n.a.; a valid zero remains zero.</x:v>
      </x:c>
      <x:c r="H12" s="2"/>
      <x:c r="I12" s="2"/>
      <x:c r="J12" s="2"/>
    </x:row>
    <x:row r="13" ht="21" customHeight="1">
      <x:c r="A13" s="2"/>
      <x:c r="B13" s="2"/>
      <x:c r="C13" s="24" t="str">
        <x:v>Real estate acquisition price</x:v>
      </x:c>
      <x:c r="D13" s="26" t="n">
        <x:f>IF($D$5=1,IF(ISNUMBER(D14),IF(AND(D14&gt;=0,D14&lt;=1000000000000),D14,"n.a."),"n.a."),IF($D$5=2,IF(ISNUMBER(D15),IF(AND(D15&gt;=0,D15&lt;=1000000000000),D15,"n.a."),"n.a."),"n.a."))</x:f>
        <x:v>2800000</x:v>
      </x:c>
      <x:c r="E13" s="22" t="str">
        <x:v>USD</x:v>
      </x:c>
      <x:c r="F13" s="2"/>
      <x:c r="G13" s="2"/>
      <x:c r="H13" s="2"/>
      <x:c r="I13" s="2"/>
      <x:c r="J13" s="2"/>
    </x:row>
    <x:row r="14" ht="35" customHeight="1">
      <x:c r="A14" s="2"/>
      <x:c r="B14" s="2"/>
      <x:c r="C14" s="28" t="str">
        <x:v>Base</x:v>
      </x:c>
      <x:c r="D14" s="27" t="n">
        <x:v>2800000</x:v>
      </x:c>
      <x:c r="E14" s="2"/>
      <x:c r="F14" s="2"/>
      <x:c r="G14" s="42" t="str">
        <x:v>Downside inputs feed the same model. Change D5 to recalculate.</x:v>
      </x:c>
      <x:c r="H14" s="2"/>
      <x:c r="I14" s="2"/>
      <x:c r="J14" s="2"/>
    </x:row>
    <x:row r="15" ht="21" customHeight="1">
      <x:c r="A15" s="2"/>
      <x:c r="B15" s="2"/>
      <x:c r="C15" s="28" t="str">
        <x:v>Downside</x:v>
      </x:c>
      <x:c r="D15" s="27" t="n">
        <x:v>2800000</x:v>
      </x:c>
      <x:c r="E15" s="2"/>
      <x:c r="F15" s="2"/>
      <x:c r="G15" s="2"/>
      <x:c r="H15" s="2"/>
      <x:c r="I15" s="2"/>
      <x:c r="J15" s="2"/>
    </x:row>
    <x:row r="16" ht="35" customHeight="1">
      <x:c r="A16" s="2"/>
      <x:c r="B16" s="2"/>
      <x:c r="C16" s="24" t="str">
        <x:v>Closing costs</x:v>
      </x:c>
      <x:c r="D16" s="26" t="n">
        <x:f>IF($D$5=1,IF(ISNUMBER(D17),IF(AND(D17&gt;=0,D17&lt;=1000000000000),D17,"n.a."),"n.a."),IF($D$5=2,IF(ISNUMBER(D18),IF(AND(D18&gt;=0,D18&lt;=1000000000000),D18,"n.a."),"n.a."),"n.a."))</x:f>
        <x:v>84000</x:v>
      </x:c>
      <x:c r="E16" s="22" t="str">
        <x:v>USD</x:v>
      </x:c>
      <x:c r="F16" s="2"/>
      <x:c r="G16" s="42" t="str">
        <x:v>NCF adjustment changes sizing only, not cash actually available.</x:v>
      </x:c>
      <x:c r="H16" s="2"/>
      <x:c r="I16" s="2"/>
      <x:c r="J16" s="2"/>
    </x:row>
    <x:row r="17" ht="21" customHeight="1">
      <x:c r="A17" s="2"/>
      <x:c r="B17" s="2"/>
      <x:c r="C17" s="28" t="str">
        <x:v>Base</x:v>
      </x:c>
      <x:c r="D17" s="27" t="n">
        <x:v>84000</x:v>
      </x:c>
      <x:c r="E17" s="2"/>
      <x:c r="F17" s="2"/>
      <x:c r="G17" s="2"/>
      <x:c r="H17" s="2"/>
      <x:c r="I17" s="2"/>
      <x:c r="J17" s="2"/>
    </x:row>
    <x:row r="18" ht="35" customHeight="1">
      <x:c r="A18" s="2"/>
      <x:c r="B18" s="2"/>
      <x:c r="C18" s="28" t="str">
        <x:v>Downside</x:v>
      </x:c>
      <x:c r="D18" s="27" t="n">
        <x:v>84000</x:v>
      </x:c>
      <x:c r="E18" s="2"/>
      <x:c r="F18" s="2"/>
      <x:c r="G18" s="42" t="str">
        <x:v>Current debt service may be IO; DSCR capacity uses amortizing service.</x:v>
      </x:c>
      <x:c r="H18" s="2"/>
      <x:c r="I18" s="2"/>
      <x:c r="J18" s="2"/>
    </x:row>
    <x:row r="19" ht="21" customHeight="1">
      <x:c r="A19" s="2"/>
      <x:c r="B19" s="2"/>
      <x:c r="C19" s="24" t="str">
        <x:v>Restricted closing reserves</x:v>
      </x:c>
      <x:c r="D19" s="26" t="n">
        <x:f>IF($D$5=1,IF(ISNUMBER(D20),IF(AND(D20&gt;=0,D20&lt;=1000000000000),D20,"n.a."),"n.a."),IF($D$5=2,IF(ISNUMBER(D21),IF(AND(D21&gt;=0,D21&lt;=1000000000000),D21,"n.a."),"n.a."),"n.a."))</x:f>
        <x:v>56000</x:v>
      </x:c>
      <x:c r="E19" s="22" t="str">
        <x:v>USD</x:v>
      </x:c>
      <x:c r="F19" s="2"/>
      <x:c r="G19" s="2"/>
      <x:c r="H19" s="2"/>
      <x:c r="I19" s="2"/>
      <x:c r="J19" s="2"/>
    </x:row>
    <x:row r="20" ht="35" customHeight="1">
      <x:c r="A20" s="2"/>
      <x:c r="B20" s="2"/>
      <x:c r="C20" s="28" t="str">
        <x:v>Base</x:v>
      </x:c>
      <x:c r="D20" s="27" t="n">
        <x:v>56000</x:v>
      </x:c>
      <x:c r="E20" s="2"/>
      <x:c r="F20" s="2"/>
      <x:c r="G20" s="42" t="str">
        <x:v>Restricted closing reserves are not available operating cash.</x:v>
      </x:c>
      <x:c r="H20" s="2"/>
      <x:c r="I20" s="2"/>
      <x:c r="J20" s="2"/>
    </x:row>
    <x:row r="21" ht="21" customHeight="1">
      <x:c r="A21" s="2"/>
      <x:c r="B21" s="2"/>
      <x:c r="C21" s="28" t="str">
        <x:v>Downside</x:v>
      </x:c>
      <x:c r="D21" s="27" t="n">
        <x:v>56000</x:v>
      </x:c>
      <x:c r="E21" s="2"/>
      <x:c r="F21" s="2"/>
      <x:c r="G21" s="2"/>
      <x:c r="H21" s="2"/>
      <x:c r="I21" s="2"/>
      <x:c r="J21" s="2"/>
    </x:row>
    <x:row r="22" ht="35" customHeight="1">
      <x:c r="A22" s="2"/>
      <x:c r="B22" s="2"/>
      <x:c r="C22" s="24" t="str">
        <x:v>Opening operating cash</x:v>
      </x:c>
      <x:c r="D22" s="26" t="n">
        <x:f>IF($D$5=1,IF(ISNUMBER(D23),IF(AND(D23&gt;=0,D23&lt;=1000000000000),D23,"n.a."),"n.a."),IF($D$5=2,IF(ISNUMBER(D24),IF(AND(D24&gt;=0,D24&lt;=1000000000000),D24,"n.a."),"n.a."),"n.a."))</x:f>
        <x:v>180000</x:v>
      </x:c>
      <x:c r="E22" s="22" t="str">
        <x:v>USD</x:v>
      </x:c>
      <x:c r="F22" s="2"/>
      <x:c r="G22" s="42" t="str">
        <x:v>Opening operating cash is funded in closing uses exactly once.</x:v>
      </x:c>
      <x:c r="H22" s="2"/>
      <x:c r="I22" s="2"/>
      <x:c r="J22" s="2"/>
    </x:row>
    <x:row r="23" ht="21" customHeight="1">
      <x:c r="A23" s="2"/>
      <x:c r="B23" s="2"/>
      <x:c r="C23" s="28" t="str">
        <x:v>Base</x:v>
      </x:c>
      <x:c r="D23" s="27" t="n">
        <x:v>180000</x:v>
      </x:c>
      <x:c r="E23" s="2"/>
      <x:c r="F23" s="2"/>
      <x:c r="G23" s="2"/>
      <x:c r="H23" s="2"/>
      <x:c r="I23" s="2"/>
      <x:c r="J23" s="2"/>
    </x:row>
    <x:row r="24" ht="35" customHeight="1">
      <x:c r="A24" s="2"/>
      <x:c r="B24" s="2"/>
      <x:c r="C24" s="28" t="str">
        <x:v>Downside</x:v>
      </x:c>
      <x:c r="D24" s="27" t="n">
        <x:v>180000</x:v>
      </x:c>
      <x:c r="E24" s="2"/>
      <x:c r="F24" s="2"/>
      <x:c r="G24" s="42" t="str">
        <x:v>Reserve deposits use nonnegative revenue; negative revenue never creates a reserve cash credit.</x:v>
      </x:c>
      <x:c r="H24" s="2"/>
      <x:c r="I24" s="2"/>
      <x:c r="J24" s="2"/>
    </x:row>
    <x:row r="25" ht="21" customHeight="1">
      <x:c r="A25" s="2"/>
      <x:c r="B25" s="2"/>
      <x:c r="C25" s="24" t="str">
        <x:v>Available sponsor equity</x:v>
      </x:c>
      <x:c r="D25" s="26" t="n">
        <x:f>IF($D$5=1,IF(ISNUMBER(D26),IF(AND(D26&gt;=0,D26&lt;=1000000000000),D26,"n.a."),"n.a."),IF($D$5=2,IF(ISNUMBER(D27),IF(AND(D27&gt;=0,D27&lt;=1000000000000),D27,"n.a."),"n.a."),"n.a."))</x:f>
        <x:v>1500000</x:v>
      </x:c>
      <x:c r="E25" s="22" t="str">
        <x:v>USD</x:v>
      </x:c>
      <x:c r="F25" s="2"/>
      <x:c r="G25" s="2"/>
      <x:c r="H25" s="2"/>
      <x:c r="I25" s="2"/>
      <x:c r="J25" s="2"/>
    </x:row>
    <x:row r="26" ht="21" customHeight="1">
      <x:c r="A26" s="2"/>
      <x:c r="B26" s="2"/>
      <x:c r="C26" s="28" t="str">
        <x:v>Base</x:v>
      </x:c>
      <x:c r="D26" s="27" t="n">
        <x:v>1500000</x:v>
      </x:c>
      <x:c r="E26" s="2"/>
      <x:c r="F26" s="2"/>
      <x:c r="G26" s="2"/>
      <x:c r="H26" s="2"/>
      <x:c r="I26" s="2"/>
      <x:c r="J26" s="2"/>
    </x:row>
    <x:row r="27" ht="21" customHeight="1">
      <x:c r="A27" s="2"/>
      <x:c r="B27" s="2"/>
      <x:c r="C27" s="28" t="str">
        <x:v>Downside</x:v>
      </x:c>
      <x:c r="D27" s="27" t="n">
        <x:v>1500000</x:v>
      </x:c>
      <x:c r="E27" s="2"/>
      <x:c r="F27" s="2"/>
      <x:c r="G27" s="2"/>
      <x:c r="H27" s="2"/>
      <x:c r="I27" s="2"/>
      <x:c r="J27" s="2"/>
    </x:row>
    <x:row r="28" ht="21" customHeight="1">
      <x:c r="A28" s="2"/>
      <x:c r="B28" s="2"/>
      <x:c r="C28" s="24" t="str">
        <x:v>Requested loan ceiling</x:v>
      </x:c>
      <x:c r="D28" s="26" t="n">
        <x:f>IF($D$5=1,IF(ISNUMBER(D29),IF(AND(D29&gt;=0,D29&lt;=1000000000000),D29,"n.a."),"n.a."),IF($D$5=2,IF(ISNUMBER(D30),IF(AND(D30&gt;=0,D30&lt;=1000000000000),D30,"n.a."),"n.a."),"n.a."))</x:f>
        <x:v>1800000</x:v>
      </x:c>
      <x:c r="E28" s="22" t="str">
        <x:v>USD</x:v>
      </x:c>
      <x:c r="F28" s="2"/>
      <x:c r="G28" s="2"/>
      <x:c r="H28" s="2"/>
      <x:c r="I28" s="2"/>
      <x:c r="J28" s="2"/>
    </x:row>
    <x:row r="29" ht="21" customHeight="1">
      <x:c r="A29" s="2"/>
      <x:c r="B29" s="2"/>
      <x:c r="C29" s="28" t="str">
        <x:v>Base</x:v>
      </x:c>
      <x:c r="D29" s="27" t="n">
        <x:v>1800000</x:v>
      </x:c>
      <x:c r="E29" s="2"/>
      <x:c r="F29" s="2"/>
      <x:c r="G29" s="2"/>
      <x:c r="H29" s="2"/>
      <x:c r="I29" s="2"/>
      <x:c r="J29" s="2"/>
    </x:row>
    <x:row r="30" ht="75" customHeight="1">
      <x:c r="A30" s="2"/>
      <x:c r="B30" s="2"/>
      <x:c r="C30" s="28" t="str">
        <x:v>Downside</x:v>
      </x:c>
      <x:c r="D30" s="27" t="n">
        <x:v>1800000</x:v>
      </x:c>
      <x:c r="E30" s="2"/>
      <x:c r="F30" s="2"/>
      <x:c r="G30" s="42" t="str">
        <x:v>New preneed deposits and remaining restricted funds never enter available operating cash or debt-sizing receipts. Only separately verified releases for fulfilled services enter the cash bridge, capped by entered fund availability.</x:v>
      </x:c>
      <x:c r="H30" s="2"/>
      <x:c r="I30" s="2"/>
      <x:c r="J30" s="2"/>
    </x:row>
    <x:row r="31" ht="21" customHeight="1">
      <x:c r="A31" s="2"/>
      <x:c r="B31" s="2"/>
      <x:c r="C31" s="31" t="str">
        <x:v>Annual note rate</x:v>
      </x:c>
      <x:c r="D31" s="32" t="n">
        <x:f>IF($D$5=1,IF(ISNUMBER(D32),IF(AND(D32&gt;=0,D32&lt;=1),D32,"n.a."),"n.a."),IF($D$5=2,IF(ISNUMBER(D33),IF(AND(D33&gt;=0,D33&lt;=1),D33,"n.a."),"n.a."),"n.a."))</x:f>
        <x:v>0.065</x:v>
      </x:c>
      <x:c r="E31" s="33" t="str">
        <x:v>%</x:v>
      </x:c>
      <x:c r="F31" s="2"/>
      <x:c r="G31" s="2"/>
      <x:c r="H31" s="2"/>
      <x:c r="I31" s="2"/>
      <x:c r="J31" s="2"/>
    </x:row>
    <x:row r="32" ht="75" customHeight="1">
      <x:c r="A32" s="2"/>
      <x:c r="B32" s="2"/>
      <x:c r="C32" s="34" t="str">
        <x:v>Base</x:v>
      </x:c>
      <x:c r="D32" s="35" t="n">
        <x:v>0.065</x:v>
      </x:c>
      <x:c r="E32" s="36"/>
      <x:c r="F32" s="2"/>
      <x:c r="G32" s="42" t="str">
        <x:v>The restricted balance rollforward is a cash tracking example, not a trust sufficiency, legal release, insurance assignment or state compliance determination. No investment earnings, refunds or unfunded preneed liability are modeled.</x:v>
      </x:c>
      <x:c r="H32" s="2"/>
      <x:c r="I32" s="2"/>
      <x:c r="J32" s="2"/>
    </x:row>
    <x:row r="33" ht="21" customHeight="1">
      <x:c r="A33" s="2"/>
      <x:c r="B33" s="2"/>
      <x:c r="C33" s="34" t="str">
        <x:v>Downside</x:v>
      </x:c>
      <x:c r="D33" s="35" t="n">
        <x:v>0.08</x:v>
      </x:c>
      <x:c r="E33" s="36"/>
      <x:c r="F33" s="2"/>
      <x:c r="G33" s="2"/>
      <x:c r="H33" s="2"/>
      <x:c r="I33" s="2"/>
      <x:c r="J33" s="2"/>
    </x:row>
    <x:row r="34" ht="75" customHeight="1">
      <x:c r="A34" s="2"/>
      <x:c r="B34" s="2"/>
      <x:c r="C34" s="24" t="str">
        <x:v>Amortization after IO (years)</x:v>
      </x:c>
      <x:c r="D34" s="37" t="n">
        <x:f>IF($D$5=1,IF(ISNUMBER(D35),IF(AND(D35&gt;=1,D35&lt;=50,D35=INT(D35)),D35,"n.a."),"n.a."),IF($D$5=2,IF(ISNUMBER(D36),IF(AND(D36&gt;=1,D36&lt;=50,D36=INT(D36)),D36,"n.a."),"n.a."),"n.a."))</x:f>
        <x:v>25</x:v>
      </x:c>
      <x:c r="E34" s="22" t="str">
        <x:v>years</x:v>
      </x:c>
      <x:c r="F34" s="2"/>
      <x:c r="G34" s="42" t="str">
        <x:v>At-need fees are collected amounts excluding pass-through items. Direct costs apply to both current and fulfilled-preneed services; do not enter the same service in both counts.</x:v>
      </x:c>
      <x:c r="H34" s="2"/>
      <x:c r="I34" s="2"/>
      <x:c r="J34" s="2"/>
    </x:row>
    <x:row r="35" ht="21" customHeight="1">
      <x:c r="A35" s="2"/>
      <x:c r="B35" s="2"/>
      <x:c r="C35" s="28" t="str">
        <x:v>Base</x:v>
      </x:c>
      <x:c r="D35" s="16" t="n">
        <x:v>25</x:v>
      </x:c>
      <x:c r="E35" s="2"/>
      <x:c r="F35" s="2"/>
      <x:c r="G35" s="2"/>
      <x:c r="H35" s="2"/>
      <x:c r="I35" s="2"/>
      <x:c r="J35" s="2"/>
    </x:row>
    <x:row r="36" ht="75" customHeight="1">
      <x:c r="A36" s="2"/>
      <x:c r="B36" s="2"/>
      <x:c r="C36" s="28" t="str">
        <x:v>Downside</x:v>
      </x:c>
      <x:c r="D36" s="16" t="n">
        <x:v>25</x:v>
      </x:c>
      <x:c r="E36" s="2"/>
      <x:c r="F36" s="2"/>
      <x:c r="G36" s="42" t="str">
        <x:v>Combined cash is an operating-business and property measure, not property NOI. Other business debt, taxes/distributions and maintenance capital are deducted once before the residual property-debt proxy.</x:v>
      </x:c>
      <x:c r="H36" s="2"/>
      <x:c r="I36" s="2"/>
      <x:c r="J36" s="2"/>
    </x:row>
    <x:row r="37" ht="21" customHeight="1">
      <x:c r="A37" s="2"/>
      <x:c r="B37" s="2"/>
      <x:c r="C37" s="24" t="str">
        <x:v>Initial interest-only months</x:v>
      </x:c>
      <x:c r="D37" s="37" t="n">
        <x:f>IF($D$5=1,IF(ISNUMBER(D38),IF(AND(D38&gt;=0,D38&lt;=12,D38=INT(D38)),D38,"n.a."),"n.a."),IF($D$5=2,IF(ISNUMBER(D39),IF(AND(D39&gt;=0,D39&lt;=12,D39=INT(D39)),D39,"n.a."),"n.a."),"n.a."))</x:f>
        <x:v>6</x:v>
      </x:c>
      <x:c r="E37" s="22" t="str">
        <x:v>months</x:v>
      </x:c>
      <x:c r="F37" s="2"/>
      <x:c r="G37" s="2"/>
      <x:c r="H37" s="2"/>
      <x:c r="I37" s="2"/>
      <x:c r="J37" s="2"/>
    </x:row>
    <x:row r="38" ht="75" customHeight="1">
      <x:c r="A38" s="2"/>
      <x:c r="B38" s="2"/>
      <x:c r="C38" s="28" t="str">
        <x:v>Base</x:v>
      </x:c>
      <x:c r="D38" s="16" t="n">
        <x:v>6</x:v>
      </x:c>
      <x:c r="E38" s="2"/>
      <x:c r="F38" s="2"/>
      <x:c r="G38" s="42" t="str">
        <x:v>Value and acquisition price refer only to the real estate. LTV never applies to enterprise value, goodwill, inventory or equipment. The modeled loan is property debt supported by residual combined cash, not a business-acquisition valuation or program eligibility test.</x:v>
      </x:c>
      <x:c r="H38" s="2"/>
      <x:c r="I38" s="2"/>
      <x:c r="J38" s="2"/>
    </x:row>
    <x:row r="39" ht="21" customHeight="1">
      <x:c r="A39" s="2"/>
      <x:c r="B39" s="2"/>
      <x:c r="C39" s="28" t="str">
        <x:v>Downside</x:v>
      </x:c>
      <x:c r="D39" s="16" t="n">
        <x:v>6</x:v>
      </x:c>
      <x:c r="E39" s="2"/>
      <x:c r="F39" s="2"/>
      <x:c r="G39" s="2"/>
      <x:c r="H39" s="2"/>
      <x:c r="I39" s="2"/>
      <x:c r="J39" s="2"/>
    </x:row>
    <x:row r="40" ht="75" customHeight="1">
      <x:c r="A40" s="2"/>
      <x:c r="B40" s="2"/>
      <x:c r="C40" s="24" t="str">
        <x:v>Loan term (months)</x:v>
      </x:c>
      <x:c r="D40" s="37" t="n">
        <x:f>IF($D$5=1,IF(ISNUMBER(D41),IF(AND(D41&gt;=12,D41&lt;=600,D41=INT(D41)),D41,"n.a."),"n.a."),IF($D$5=2,IF(ISNUMBER(D42),IF(AND(D42&gt;=12,D42&lt;=600,D42=INT(D42)),D42,"n.a."),"n.a."),"n.a."))</x:f>
        <x:v>60</x:v>
      </x:c>
      <x:c r="E40" s="22" t="str">
        <x:v>months</x:v>
      </x:c>
      <x:c r="F40" s="2"/>
      <x:c r="G40" s="42" t="str">
        <x:v>Business purchases, equipment purchases at closing and goodwill are excluded from the example acquisition uses. Reconcile their separate funding and resulting debt obligations before relying on the property-only equity gap. Include additional post-closing equipment or expansion cash in the capital schedule once.</x:v>
      </x:c>
      <x:c r="H40" s="2"/>
      <x:c r="I40" s="2"/>
      <x:c r="J40" s="2"/>
    </x:row>
    <x:row r="41" ht="21" customHeight="1">
      <x:c r="A41" s="2"/>
      <x:c r="B41" s="2"/>
      <x:c r="C41" s="28" t="str">
        <x:v>Base</x:v>
      </x:c>
      <x:c r="D41" s="16" t="n">
        <x:v>60</x:v>
      </x:c>
      <x:c r="E41" s="2"/>
      <x:c r="F41" s="2"/>
      <x:c r="G41" s="2"/>
      <x:c r="H41" s="2"/>
      <x:c r="I41" s="2"/>
      <x:c r="J41" s="2"/>
    </x:row>
    <x:row r="42" ht="75" customHeight="1">
      <x:c r="A42" s="2"/>
      <x:c r="B42" s="2"/>
      <x:c r="C42" s="28" t="str">
        <x:v>Downside</x:v>
      </x:c>
      <x:c r="D42" s="16" t="n">
        <x:v>60</x:v>
      </x:c>
      <x:c r="E42" s="2"/>
      <x:c r="F42" s="2"/>
      <x:c r="G42" s="42" t="str">
        <x:v>Related-party rent is shown and eliminated. External property costs exclude mortgage debt and must not also appear in business operating inputs. No intercompany transfer permission is established.</x:v>
      </x:c>
      <x:c r="H42" s="2"/>
      <x:c r="I42" s="2"/>
      <x:c r="J42" s="2"/>
    </x:row>
    <x:row r="43" ht="21" customHeight="1">
      <x:c r="A43" s="2"/>
      <x:c r="B43" s="2"/>
      <x:c r="C43" s="31" t="str">
        <x:v>Maximum LTV</x:v>
      </x:c>
      <x:c r="D43" s="32" t="n">
        <x:f>IF($D$5=1,IF(ISNUMBER(D44),IF(AND(D44&gt;=0,D44&lt;=1),D44,"n.a."),"n.a."),IF($D$5=2,IF(ISNUMBER(D45),IF(AND(D45&gt;=0,D45&lt;=1),D45,"n.a."),"n.a."),"n.a."))</x:f>
        <x:v>0.65</x:v>
      </x:c>
      <x:c r="E43" s="33" t="str">
        <x:v>%</x:v>
      </x:c>
      <x:c r="F43" s="2"/>
      <x:c r="G43" s="2"/>
      <x:c r="H43" s="2"/>
      <x:c r="I43" s="2"/>
      <x:c r="J43" s="2"/>
    </x:row>
    <x:row r="44" ht="75" customHeight="1">
      <x:c r="A44" s="2"/>
      <x:c r="B44" s="2"/>
      <x:c r="C44" s="34" t="str">
        <x:v>Base</x:v>
      </x:c>
      <x:c r="D44" s="35" t="n">
        <x:v>0.65</x:v>
      </x:c>
      <x:c r="E44" s="36"/>
      <x:c r="F44" s="2"/>
      <x:c r="G44" s="42" t="str">
        <x:v>Maintenance capital is deducted before sizing. Additional expansion/property capital is deducted below residual cash. Do not enter the same cost in both places.</x:v>
      </x:c>
      <x:c r="H44" s="2"/>
      <x:c r="I44" s="2"/>
      <x:c r="J44" s="2"/>
    </x:row>
    <x:row r="45" ht="21" customHeight="1">
      <x:c r="A45" s="2"/>
      <x:c r="B45" s="2"/>
      <x:c r="C45" s="34" t="str">
        <x:v>Downside</x:v>
      </x:c>
      <x:c r="D45" s="35" t="n">
        <x:v>0.6</x:v>
      </x:c>
      <x:c r="E45" s="36"/>
      <x:c r="F45" s="2"/>
      <x:c r="G45" s="2"/>
      <x:c r="H45" s="2"/>
      <x:c r="I45" s="2"/>
      <x:c r="J45" s="2"/>
    </x:row>
    <x:row r="46" ht="75" customHeight="1">
      <x:c r="A46" s="2"/>
      <x:c r="B46" s="2"/>
      <x:c r="C46" s="31" t="str">
        <x:v>Minimum sizing DSCR</x:v>
      </x:c>
      <x:c r="D46" s="40" t="n">
        <x:f>IF($D$5=1,IF(ISNUMBER(D47),IF(AND(D47&gt;=0.01,D47&lt;=10),D47,"n.a."),"n.a."),IF($D$5=2,IF(ISNUMBER(D48),IF(AND(D48&gt;=0.01,D48&lt;=10),D48,"n.a."),"n.a."),"n.a."))</x:f>
        <x:v>1.25</x:v>
      </x:c>
      <x:c r="E46" s="33" t="str">
        <x:v>x</x:v>
      </x:c>
      <x:c r="F46" s="2"/>
      <x:c r="G46" s="42" t="str">
        <x:v>All amounts are fictional. Residual coverage, value and cash tests do not establish bank DSCR, program eligibility, business value or a loan commitment.</x:v>
      </x:c>
      <x:c r="H46" s="2"/>
      <x:c r="I46" s="2"/>
      <x:c r="J46" s="2"/>
    </x:row>
    <x:row r="47" ht="21" customHeight="1">
      <x:c r="A47" s="2"/>
      <x:c r="B47" s="2"/>
      <x:c r="C47" s="34" t="str">
        <x:v>Base</x:v>
      </x:c>
      <x:c r="D47" s="41" t="n">
        <x:v>1.25</x:v>
      </x:c>
      <x:c r="E47" s="36"/>
      <x:c r="F47" s="2"/>
      <x:c r="G47" s="2"/>
      <x:c r="H47" s="2"/>
      <x:c r="I47" s="2"/>
      <x:c r="J47" s="2"/>
    </x:row>
    <x:row r="48" ht="21" customHeight="1">
      <x:c r="A48" s="2"/>
      <x:c r="B48" s="2"/>
      <x:c r="C48" s="34" t="str">
        <x:v>Downside</x:v>
      </x:c>
      <x:c r="D48" s="41" t="n">
        <x:v>1.3</x:v>
      </x:c>
      <x:c r="E48" s="36"/>
      <x:c r="F48" s="2"/>
      <x:c r="G48" s="2"/>
      <x:c r="H48" s="2"/>
      <x:c r="I48" s="2"/>
      <x:c r="J48" s="2"/>
    </x:row>
    <x:row r="49" ht="21" customHeight="1">
      <x:c r="A49" s="2"/>
      <x:c r="B49" s="2"/>
      <x:c r="C49" s="31" t="str">
        <x:v>Minimum debt yield</x:v>
      </x:c>
      <x:c r="D49" s="32" t="n">
        <x:f>IF($D$5=1,IF(ISNUMBER(D50),IF(AND(D50&gt;=0.0001,D50&lt;=1),D50,"n.a."),"n.a."),IF($D$5=2,IF(ISNUMBER(D51),IF(AND(D51&gt;=0.0001,D51&lt;=1),D51,"n.a."),"n.a."),"n.a."))</x:f>
        <x:v>0.09</x:v>
      </x:c>
      <x:c r="E49" s="33" t="str">
        <x:v>%</x:v>
      </x:c>
      <x:c r="F49" s="2"/>
      <x:c r="G49" s="2"/>
      <x:c r="H49" s="2"/>
      <x:c r="I49" s="2"/>
      <x:c r="J49" s="2"/>
    </x:row>
    <x:row r="50" ht="21" customHeight="1">
      <x:c r="A50" s="2"/>
      <x:c r="B50" s="2"/>
      <x:c r="C50" s="34" t="str">
        <x:v>Base</x:v>
      </x:c>
      <x:c r="D50" s="35" t="n">
        <x:v>0.09</x:v>
      </x:c>
      <x:c r="E50" s="36"/>
      <x:c r="F50" s="2"/>
      <x:c r="G50" s="2"/>
      <x:c r="H50" s="2"/>
      <x:c r="I50" s="2"/>
      <x:c r="J50" s="2"/>
    </x:row>
    <x:row r="51" ht="21" customHeight="1">
      <x:c r="A51" s="2"/>
      <x:c r="B51" s="2"/>
      <x:c r="C51" s="34" t="str">
        <x:v>Downside</x:v>
      </x:c>
      <x:c r="D51" s="35" t="n">
        <x:v>0.1</x:v>
      </x:c>
      <x:c r="E51" s="36"/>
      <x:c r="F51" s="2"/>
      <x:c r="G51" s="2"/>
      <x:c r="H51" s="2"/>
      <x:c r="I51" s="2"/>
      <x:c r="J51" s="2"/>
    </x:row>
    <x:row r="52" ht="21" customHeight="1">
      <x:c r="A52" s="2"/>
      <x:c r="B52" s="2"/>
      <x:c r="C52" s="24" t="str">
        <x:v>Annual lender NCF adjustment</x:v>
      </x:c>
      <x:c r="D52" s="26" t="n">
        <x:f>IF($D$5=1,IF(ISNUMBER(D53),IF(AND(D53&gt;=-1000000000000,D53&lt;=1000000000000),D53,"n.a."),"n.a."),IF($D$5=2,IF(ISNUMBER(D54),IF(AND(D54&gt;=-1000000000000,D54&lt;=1000000000000),D54,"n.a."),"n.a."),"n.a."))</x:f>
        <x:v>0</x:v>
      </x:c>
      <x:c r="E52" s="22" t="str">
        <x:v>USD</x:v>
      </x:c>
      <x:c r="F52" s="2"/>
      <x:c r="G52" s="2"/>
      <x:c r="H52" s="2"/>
      <x:c r="I52" s="2"/>
      <x:c r="J52" s="2"/>
    </x:row>
    <x:row r="53" ht="21" customHeight="1">
      <x:c r="A53" s="2"/>
      <x:c r="B53" s="2"/>
      <x:c r="C53" s="28" t="str">
        <x:v>Base</x:v>
      </x:c>
      <x:c r="D53" s="27" t="n">
        <x:v>0</x:v>
      </x:c>
      <x:c r="E53" s="2"/>
      <x:c r="F53" s="2"/>
      <x:c r="G53" s="2"/>
      <x:c r="H53" s="2"/>
      <x:c r="I53" s="2"/>
      <x:c r="J53" s="2"/>
    </x:row>
    <x:row r="54" ht="21" customHeight="1">
      <x:c r="A54" s="2"/>
      <x:c r="B54" s="2"/>
      <x:c r="C54" s="28" t="str">
        <x:v>Downside</x:v>
      </x:c>
      <x:c r="D54" s="27" t="n">
        <x:v>0</x:v>
      </x:c>
      <x:c r="E54" s="2"/>
      <x:c r="F54" s="2"/>
      <x:c r="G54" s="2"/>
      <x:c r="H54" s="2"/>
      <x:c r="I54" s="2"/>
      <x:c r="J54" s="2"/>
    </x:row>
    <x:row r="55" ht="21" customHeight="1">
      <x:c r="A55" s="2"/>
      <x:c r="B55" s="2"/>
      <x:c r="C55" s="24" t="str">
        <x:v>Annual fixed operating costs</x:v>
      </x:c>
      <x:c r="D55" s="26" t="n">
        <x:f>IF($D$5=1,IF(ISNUMBER(D56),IF(AND(D56&gt;=0,D56&lt;=1000000000000),D56,"n.a."),"n.a."),IF($D$5=2,IF(ISNUMBER(D57),IF(AND(D57&gt;=0,D57&lt;=1000000000000),D57,"n.a."),"n.a."),"n.a."))</x:f>
        <x:v>0</x:v>
      </x:c>
      <x:c r="E55" s="22" t="str">
        <x:v>USD</x:v>
      </x:c>
      <x:c r="F55" s="2"/>
      <x:c r="G55" s="2"/>
      <x:c r="H55" s="2"/>
      <x:c r="I55" s="2"/>
      <x:c r="J55" s="2"/>
    </x:row>
    <x:row r="56" ht="21" customHeight="1">
      <x:c r="A56" s="2"/>
      <x:c r="B56" s="2"/>
      <x:c r="C56" s="28" t="str">
        <x:v>Base</x:v>
      </x:c>
      <x:c r="D56" s="27" t="n">
        <x:v>0</x:v>
      </x:c>
      <x:c r="E56" s="2"/>
      <x:c r="F56" s="2"/>
      <x:c r="G56" s="2"/>
      <x:c r="H56" s="2"/>
      <x:c r="I56" s="2"/>
      <x:c r="J56" s="2"/>
    </x:row>
    <x:row r="57" ht="21" customHeight="1">
      <x:c r="A57" s="2"/>
      <x:c r="B57" s="2"/>
      <x:c r="C57" s="28" t="str">
        <x:v>Downside</x:v>
      </x:c>
      <x:c r="D57" s="27" t="n">
        <x:v>0</x:v>
      </x:c>
      <x:c r="E57" s="2"/>
      <x:c r="F57" s="2"/>
      <x:c r="G57" s="2"/>
      <x:c r="H57" s="2"/>
      <x:c r="I57" s="2"/>
      <x:c r="J57" s="2"/>
    </x:row>
    <x:row r="58" ht="21" customHeight="1">
      <x:c r="A58" s="2"/>
      <x:c r="B58" s="2"/>
      <x:c r="C58" s="31" t="str">
        <x:v>Replacement reserve / revenue</x:v>
      </x:c>
      <x:c r="D58" s="32" t="n">
        <x:f>IF($D$5=1,IF(ISNUMBER(D59),IF(AND(D59&gt;=0,D59&lt;=1),D59,"n.a."),"n.a."),IF($D$5=2,IF(ISNUMBER(D60),IF(AND(D60&gt;=0,D60&lt;=1),D60,"n.a."),"n.a."),"n.a."))</x:f>
        <x:v>0</x:v>
      </x:c>
      <x:c r="E58" s="33" t="str">
        <x:v>%</x:v>
      </x:c>
      <x:c r="F58" s="2"/>
      <x:c r="G58" s="2"/>
      <x:c r="H58" s="2"/>
      <x:c r="I58" s="2"/>
      <x:c r="J58" s="2"/>
    </x:row>
    <x:row r="59" ht="21" customHeight="1">
      <x:c r="A59" s="2"/>
      <x:c r="B59" s="2"/>
      <x:c r="C59" s="34" t="str">
        <x:v>Base</x:v>
      </x:c>
      <x:c r="D59" s="35" t="n">
        <x:v>0</x:v>
      </x:c>
      <x:c r="E59" s="36"/>
      <x:c r="F59" s="2"/>
      <x:c r="G59" s="2"/>
      <x:c r="H59" s="2"/>
      <x:c r="I59" s="2"/>
      <x:c r="J59" s="2"/>
    </x:row>
    <x:row r="60" ht="21" customHeight="1">
      <x:c r="A60" s="2"/>
      <x:c r="B60" s="2"/>
      <x:c r="C60" s="34" t="str">
        <x:v>Downside</x:v>
      </x:c>
      <x:c r="D60" s="35" t="n">
        <x:v>0</x:v>
      </x:c>
      <x:c r="E60" s="36"/>
      <x:c r="F60" s="2"/>
      <x:c r="G60" s="2"/>
      <x:c r="H60" s="2"/>
      <x:c r="I60" s="2"/>
      <x:c r="J60" s="2"/>
    </x:row>
    <x:row r="61" ht="21" customHeight="1">
      <x:c r="A61" s="2"/>
      <x:c r="B61" s="2"/>
      <x:c r="C61" s="31" t="str">
        <x:v>Activity multiplier</x:v>
      </x:c>
      <x:c r="D61" s="40" t="n">
        <x:f>IF($D$5=1,IF(ISNUMBER(D62),IF(AND(D62&gt;=0,D62&lt;=2),D62,"n.a."),"n.a."),IF($D$5=2,IF(ISNUMBER(D63),IF(AND(D63&gt;=0,D63&lt;=2),D63,"n.a."),"n.a."),"n.a."))</x:f>
        <x:v>1</x:v>
      </x:c>
      <x:c r="E61" s="33" t="str">
        <x:v>x</x:v>
      </x:c>
      <x:c r="F61" s="2"/>
      <x:c r="G61" s="2"/>
      <x:c r="H61" s="2"/>
      <x:c r="I61" s="2"/>
      <x:c r="J61" s="2"/>
    </x:row>
    <x:row r="62" ht="21" customHeight="1">
      <x:c r="A62" s="2"/>
      <x:c r="B62" s="2"/>
      <x:c r="C62" s="34" t="str">
        <x:v>Base</x:v>
      </x:c>
      <x:c r="D62" s="41" t="n">
        <x:v>1</x:v>
      </x:c>
      <x:c r="E62" s="36"/>
      <x:c r="F62" s="2"/>
      <x:c r="G62" s="2"/>
      <x:c r="H62" s="2"/>
      <x:c r="I62" s="2"/>
      <x:c r="J62" s="2"/>
    </x:row>
    <x:row r="63" ht="21" customHeight="1">
      <x:c r="A63" s="2"/>
      <x:c r="B63" s="2"/>
      <x:c r="C63" s="34" t="str">
        <x:v>Downside</x:v>
      </x:c>
      <x:c r="D63" s="41" t="n">
        <x:v>0.9</x:v>
      </x:c>
      <x:c r="E63" s="36"/>
      <x:c r="F63" s="2"/>
      <x:c r="G63" s="2"/>
      <x:c r="H63" s="2"/>
      <x:c r="I63" s="2"/>
      <x:c r="J63" s="2"/>
    </x:row>
    <x:row r="64" ht="21" customHeight="1">
      <x:c r="A64" s="2"/>
      <x:c r="B64" s="2"/>
      <x:c r="C64" s="31" t="str">
        <x:v>Price / rent multiplier</x:v>
      </x:c>
      <x:c r="D64" s="40" t="n">
        <x:f>IF($D$5=1,IF(ISNUMBER(D65),IF(AND(D65&gt;=0,D65&lt;=2),D65,"n.a."),"n.a."),IF($D$5=2,IF(ISNUMBER(D66),IF(AND(D66&gt;=0,D66&lt;=2),D66,"n.a."),"n.a."),"n.a."))</x:f>
        <x:v>1</x:v>
      </x:c>
      <x:c r="E64" s="33" t="str">
        <x:v>x</x:v>
      </x:c>
      <x:c r="F64" s="2"/>
      <x:c r="G64" s="2"/>
      <x:c r="H64" s="2"/>
      <x:c r="I64" s="2"/>
      <x:c r="J64" s="2"/>
    </x:row>
    <x:row r="65" ht="21" customHeight="1">
      <x:c r="A65" s="2"/>
      <x:c r="B65" s="2"/>
      <x:c r="C65" s="34" t="str">
        <x:v>Base</x:v>
      </x:c>
      <x:c r="D65" s="41" t="n">
        <x:v>1</x:v>
      </x:c>
      <x:c r="E65" s="36"/>
      <x:c r="F65" s="2"/>
      <x:c r="G65" s="2"/>
      <x:c r="H65" s="2"/>
      <x:c r="I65" s="2"/>
      <x:c r="J65" s="2"/>
    </x:row>
    <x:row r="66" ht="21" customHeight="1">
      <x:c r="A66" s="2"/>
      <x:c r="B66" s="2"/>
      <x:c r="C66" s="34" t="str">
        <x:v>Downside</x:v>
      </x:c>
      <x:c r="D66" s="41" t="n">
        <x:v>0.95</x:v>
      </x:c>
      <x:c r="E66" s="36"/>
      <x:c r="F66" s="2"/>
      <x:c r="G66" s="2"/>
      <x:c r="H66" s="2"/>
      <x:c r="I66" s="2"/>
      <x:c r="J66" s="2"/>
    </x:row>
    <x:row r="67" ht="21" customHeight="1">
      <x:c r="A67" s="2"/>
      <x:c r="B67" s="2"/>
      <x:c r="C67" s="31" t="str">
        <x:v>Variable cost multiplier</x:v>
      </x:c>
      <x:c r="D67" s="40" t="n">
        <x:f>IF($D$5=1,IF(ISNUMBER(D68),IF(AND(D68&gt;=0,D68&lt;=3),D68,"n.a."),"n.a."),IF($D$5=2,IF(ISNUMBER(D69),IF(AND(D69&gt;=0,D69&lt;=3),D69,"n.a."),"n.a."),"n.a."))</x:f>
        <x:v>1</x:v>
      </x:c>
      <x:c r="E67" s="33" t="str">
        <x:v>x</x:v>
      </x:c>
      <x:c r="F67" s="2"/>
      <x:c r="G67" s="2"/>
      <x:c r="H67" s="2"/>
      <x:c r="I67" s="2"/>
      <x:c r="J67" s="2"/>
    </x:row>
    <x:row r="68" ht="21" customHeight="1">
      <x:c r="A68" s="2"/>
      <x:c r="B68" s="2"/>
      <x:c r="C68" s="34" t="str">
        <x:v>Base</x:v>
      </x:c>
      <x:c r="D68" s="41" t="n">
        <x:v>1</x:v>
      </x:c>
      <x:c r="E68" s="36"/>
      <x:c r="F68" s="2"/>
      <x:c r="G68" s="2"/>
      <x:c r="H68" s="2"/>
      <x:c r="I68" s="2"/>
      <x:c r="J68" s="2"/>
    </x:row>
    <x:row r="69" ht="21" customHeight="1">
      <x:c r="A69" s="2"/>
      <x:c r="B69" s="2"/>
      <x:c r="C69" s="34" t="str">
        <x:v>Downside</x:v>
      </x:c>
      <x:c r="D69" s="41" t="n">
        <x:v>1.1</x:v>
      </x:c>
      <x:c r="E69" s="36"/>
      <x:c r="F69" s="2"/>
      <x:c r="G69" s="2"/>
      <x:c r="H69" s="2"/>
      <x:c r="I69" s="2"/>
      <x:c r="J69" s="2"/>
    </x:row>
    <x:row r="70" ht="21" customHeight="1">
      <x:c r="A70" s="2"/>
      <x:c r="B70" s="2"/>
      <x:c r="C70" s="31" t="str">
        <x:v>Capital-work multiplier</x:v>
      </x:c>
      <x:c r="D70" s="40" t="n">
        <x:f>IF($D$5=1,IF(ISNUMBER(D71),IF(AND(D71&gt;=0,D71&lt;=3),D71,"n.a."),"n.a."),IF($D$5=2,IF(ISNUMBER(D72),IF(AND(D72&gt;=0,D72&lt;=3),D72,"n.a."),"n.a."),"n.a."))</x:f>
        <x:v>1</x:v>
      </x:c>
      <x:c r="E70" s="33" t="str">
        <x:v>x</x:v>
      </x:c>
      <x:c r="F70" s="2"/>
      <x:c r="G70" s="2"/>
      <x:c r="H70" s="2"/>
      <x:c r="I70" s="2"/>
      <x:c r="J70" s="2"/>
    </x:row>
    <x:row r="71" ht="21" customHeight="1">
      <x:c r="A71" s="2"/>
      <x:c r="B71" s="2"/>
      <x:c r="C71" s="34" t="str">
        <x:v>Base</x:v>
      </x:c>
      <x:c r="D71" s="41" t="n">
        <x:v>1</x:v>
      </x:c>
      <x:c r="E71" s="36"/>
      <x:c r="F71" s="2"/>
      <x:c r="G71" s="2"/>
      <x:c r="H71" s="2"/>
      <x:c r="I71" s="2"/>
      <x:c r="J71" s="2"/>
    </x:row>
    <x:row r="72" ht="21" customHeight="1">
      <x:c r="A72" s="2"/>
      <x:c r="B72" s="2"/>
      <x:c r="C72" s="34" t="str">
        <x:v>Downside</x:v>
      </x:c>
      <x:c r="D72" s="41" t="n">
        <x:v>1.2</x:v>
      </x:c>
      <x:c r="E72" s="36"/>
      <x:c r="F72" s="2"/>
      <x:c r="G72" s="2"/>
      <x:c r="H72" s="2"/>
      <x:c r="I72" s="2"/>
      <x:c r="J72" s="2"/>
    </x:row>
    <x:row r="73" ht="21" customHeight="1">
      <x:c r="A73" s="2"/>
      <x:c r="B73" s="2"/>
      <x:c r="C73" s="24" t="str">
        <x:v>Monthly related-party rent (eliminated)</x:v>
      </x:c>
      <x:c r="D73" s="26" t="n">
        <x:f>IF($D$5=1,IF(ISNUMBER(D74),IF(AND(D74&gt;=0,D74&lt;=1000000000000),D74,"n.a."),"n.a."),IF($D$5=2,IF(ISNUMBER(D75),IF(AND(D75&gt;=0,D75&lt;=1000000000000),D75,"n.a."),"n.a."),"n.a."))</x:f>
        <x:v>12000</x:v>
      </x:c>
      <x:c r="E73" s="22" t="str">
        <x:v>USD</x:v>
      </x:c>
      <x:c r="F73" s="2"/>
      <x:c r="G73" s="2"/>
      <x:c r="H73" s="2"/>
      <x:c r="I73" s="2"/>
      <x:c r="J73" s="2"/>
    </x:row>
    <x:row r="74" ht="21" customHeight="1">
      <x:c r="A74" s="2"/>
      <x:c r="B74" s="2"/>
      <x:c r="C74" s="28" t="str">
        <x:v>Base</x:v>
      </x:c>
      <x:c r="D74" s="27" t="n">
        <x:v>12000</x:v>
      </x:c>
      <x:c r="E74" s="2"/>
      <x:c r="F74" s="2"/>
      <x:c r="G74" s="2"/>
      <x:c r="H74" s="2"/>
      <x:c r="I74" s="2"/>
      <x:c r="J74" s="2"/>
    </x:row>
    <x:row r="75" ht="21" customHeight="1">
      <x:c r="A75" s="2"/>
      <x:c r="B75" s="2"/>
      <x:c r="C75" s="28" t="str">
        <x:v>Downside</x:v>
      </x:c>
      <x:c r="D75" s="27" t="n">
        <x:v>12000</x:v>
      </x:c>
      <x:c r="E75" s="2"/>
      <x:c r="F75" s="2"/>
      <x:c r="G75" s="2"/>
      <x:c r="H75" s="2"/>
      <x:c r="I75" s="2"/>
      <x:c r="J75" s="2"/>
    </x:row>
    <x:row r="76" ht="21" customHeight="1">
      <x:c r="A76" s="2"/>
      <x:c r="B76" s="2"/>
      <x:c r="C76" s="24" t="str">
        <x:v>Monthly external property costs</x:v>
      </x:c>
      <x:c r="D76" s="26" t="n">
        <x:f>IF($D$5=1,IF(ISNUMBER(D77),IF(AND(D77&gt;=0,D77&lt;=1000000000000),D77,"n.a."),"n.a."),IF($D$5=2,IF(ISNUMBER(D78),IF(AND(D78&gt;=0,D78&lt;=1000000000000),D78,"n.a."),"n.a."),"n.a."))</x:f>
        <x:v>6000</x:v>
      </x:c>
      <x:c r="E76" s="22" t="str">
        <x:v>USD</x:v>
      </x:c>
      <x:c r="F76" s="2"/>
      <x:c r="G76" s="2"/>
      <x:c r="H76" s="2"/>
      <x:c r="I76" s="2"/>
      <x:c r="J76" s="2"/>
    </x:row>
    <x:row r="77" ht="21" customHeight="1">
      <x:c r="A77" s="2"/>
      <x:c r="B77" s="2"/>
      <x:c r="C77" s="28" t="str">
        <x:v>Base</x:v>
      </x:c>
      <x:c r="D77" s="27" t="n">
        <x:v>6000</x:v>
      </x:c>
      <x:c r="E77" s="2"/>
      <x:c r="F77" s="2"/>
      <x:c r="G77" s="2"/>
      <x:c r="H77" s="2"/>
      <x:c r="I77" s="2"/>
      <x:c r="J77" s="2"/>
    </x:row>
    <x:row r="78" ht="21" customHeight="1">
      <x:c r="A78" s="2"/>
      <x:c r="B78" s="2"/>
      <x:c r="C78" s="28" t="str">
        <x:v>Downside</x:v>
      </x:c>
      <x:c r="D78" s="27" t="n">
        <x:v>6600</x:v>
      </x:c>
      <x:c r="E78" s="2"/>
      <x:c r="F78" s="2"/>
      <x:c r="G78" s="2"/>
      <x:c r="H78" s="2"/>
      <x:c r="I78" s="2"/>
      <x:c r="J78" s="2"/>
    </x:row>
    <x:row r="79" ht="21" customHeight="1">
      <x:c r="A79" s="2"/>
      <x:c r="B79" s="2"/>
      <x:c r="C79" s="24" t="str">
        <x:v>Monthly non-property debt service</x:v>
      </x:c>
      <x:c r="D79" s="26" t="n">
        <x:f>IF($D$5=1,IF(ISNUMBER(D80),IF(AND(D80&gt;=0,D80&lt;=1000000000000),D80,"n.a."),"n.a."),IF($D$5=2,IF(ISNUMBER(D81),IF(AND(D81&gt;=0,D81&lt;=1000000000000),D81,"n.a."),"n.a."),"n.a."))</x:f>
        <x:v>6000</x:v>
      </x:c>
      <x:c r="E79" s="22" t="str">
        <x:v>USD</x:v>
      </x:c>
      <x:c r="F79" s="2"/>
      <x:c r="G79" s="2"/>
      <x:c r="H79" s="2"/>
      <x:c r="I79" s="2"/>
      <x:c r="J79" s="2"/>
    </x:row>
    <x:row r="80" ht="21" customHeight="1">
      <x:c r="A80" s="2"/>
      <x:c r="B80" s="2"/>
      <x:c r="C80" s="28" t="str">
        <x:v>Base</x:v>
      </x:c>
      <x:c r="D80" s="27" t="n">
        <x:v>6000</x:v>
      </x:c>
      <x:c r="E80" s="2"/>
      <x:c r="F80" s="2"/>
      <x:c r="G80" s="2"/>
      <x:c r="H80" s="2"/>
      <x:c r="I80" s="2"/>
      <x:c r="J80" s="2"/>
    </x:row>
    <x:row r="81" ht="21" customHeight="1">
      <x:c r="A81" s="2"/>
      <x:c r="B81" s="2"/>
      <x:c r="C81" s="28" t="str">
        <x:v>Downside</x:v>
      </x:c>
      <x:c r="D81" s="27" t="n">
        <x:v>6000</x:v>
      </x:c>
      <x:c r="E81" s="2"/>
      <x:c r="F81" s="2"/>
      <x:c r="G81" s="2"/>
      <x:c r="H81" s="2"/>
      <x:c r="I81" s="2"/>
      <x:c r="J81" s="2"/>
    </x:row>
    <x:row r="82" ht="21" customHeight="1">
      <x:c r="A82" s="2"/>
      <x:c r="B82" s="2"/>
      <x:c r="C82" s="24" t="str">
        <x:v>Monthly cash taxes and distributions</x:v>
      </x:c>
      <x:c r="D82" s="26" t="n">
        <x:f>IF($D$5=1,IF(ISNUMBER(D83),IF(AND(D83&gt;=0,D83&lt;=1000000000000),D83,"n.a."),"n.a."),IF($D$5=2,IF(ISNUMBER(D84),IF(AND(D84&gt;=0,D84&lt;=1000000000000),D84,"n.a."),"n.a."),"n.a."))</x:f>
        <x:v>3000</x:v>
      </x:c>
      <x:c r="E82" s="22" t="str">
        <x:v>USD</x:v>
      </x:c>
      <x:c r="F82" s="2"/>
      <x:c r="G82" s="2"/>
      <x:c r="H82" s="2"/>
      <x:c r="I82" s="2"/>
      <x:c r="J82" s="2"/>
    </x:row>
    <x:row r="83" ht="21" customHeight="1">
      <x:c r="A83" s="2"/>
      <x:c r="B83" s="2"/>
      <x:c r="C83" s="28" t="str">
        <x:v>Base</x:v>
      </x:c>
      <x:c r="D83" s="27" t="n">
        <x:v>3000</x:v>
      </x:c>
      <x:c r="E83" s="2"/>
      <x:c r="F83" s="2"/>
      <x:c r="G83" s="2"/>
      <x:c r="H83" s="2"/>
      <x:c r="I83" s="2"/>
      <x:c r="J83" s="2"/>
    </x:row>
    <x:row r="84" ht="21" customHeight="1">
      <x:c r="A84" s="2"/>
      <x:c r="B84" s="2"/>
      <x:c r="C84" s="28" t="str">
        <x:v>Downside</x:v>
      </x:c>
      <x:c r="D84" s="27" t="n">
        <x:v>3000</x:v>
      </x:c>
      <x:c r="E84" s="2"/>
      <x:c r="F84" s="2"/>
      <x:c r="G84" s="2"/>
      <x:c r="H84" s="2"/>
      <x:c r="I84" s="2"/>
      <x:c r="J84" s="2"/>
    </x:row>
    <x:row r="85" ht="21" customHeight="1">
      <x:c r="A85" s="2"/>
      <x:c r="B85" s="2"/>
      <x:c r="C85" s="24" t="str">
        <x:v>Monthly maintenance capital</x:v>
      </x:c>
      <x:c r="D85" s="26" t="n">
        <x:f>IF($D$5=1,IF(ISNUMBER(D86),IF(AND(D86&gt;=0,D86&lt;=1000000000000),D86,"n.a."),"n.a."),IF($D$5=2,IF(ISNUMBER(D87),IF(AND(D87&gt;=0,D87&lt;=1000000000000),D87,"n.a."),"n.a."),"n.a."))</x:f>
        <x:v>1500</x:v>
      </x:c>
      <x:c r="E85" s="22" t="str">
        <x:v>USD</x:v>
      </x:c>
      <x:c r="F85" s="2"/>
      <x:c r="G85" s="2"/>
      <x:c r="H85" s="2"/>
      <x:c r="I85" s="2"/>
      <x:c r="J85" s="2"/>
    </x:row>
    <x:row r="86" ht="21" customHeight="1">
      <x:c r="A86" s="2"/>
      <x:c r="B86" s="2"/>
      <x:c r="C86" s="28" t="str">
        <x:v>Base</x:v>
      </x:c>
      <x:c r="D86" s="27" t="n">
        <x:v>1500</x:v>
      </x:c>
      <x:c r="E86" s="2"/>
      <x:c r="F86" s="2"/>
      <x:c r="G86" s="2"/>
      <x:c r="H86" s="2"/>
      <x:c r="I86" s="2"/>
      <x:c r="J86" s="2"/>
    </x:row>
    <x:row r="87" ht="21" customHeight="1">
      <x:c r="A87" s="2"/>
      <x:c r="B87" s="2"/>
      <x:c r="C87" s="28" t="str">
        <x:v>Downside</x:v>
      </x:c>
      <x:c r="D87" s="27" t="n">
        <x:v>1800</x:v>
      </x:c>
      <x:c r="E87" s="2"/>
      <x:c r="F87" s="2"/>
      <x:c r="G87" s="2"/>
      <x:c r="H87" s="2"/>
      <x:c r="I87" s="2"/>
      <x:c r="J87" s="2"/>
    </x:row>
    <x:row r="88" ht="21" customHeight="1">
      <x:c r="A88" s="2"/>
      <x:c r="B88" s="2"/>
      <x:c r="C88" s="24" t="str">
        <x:v>Opening restricted funds (not operating cash)</x:v>
      </x:c>
      <x:c r="D88" s="26" t="n">
        <x:f>IF($D$5=1,IF(ISNUMBER(D89),IF(AND(D89&gt;=0,D89&lt;=1000000000000),D89,"n.a."),"n.a."),IF($D$5=2,IF(ISNUMBER(D90),IF(AND(D90&gt;=0,D90&lt;=1000000000000),D90,"n.a."),"n.a."),"n.a."))</x:f>
        <x:v>900000</x:v>
      </x:c>
      <x:c r="E88" s="22" t="str">
        <x:v>USD</x:v>
      </x:c>
      <x:c r="F88" s="2"/>
      <x:c r="G88" s="2"/>
      <x:c r="H88" s="2"/>
      <x:c r="I88" s="2"/>
      <x:c r="J88" s="2"/>
    </x:row>
    <x:row r="89" ht="21" customHeight="1">
      <x:c r="A89" s="2"/>
      <x:c r="B89" s="2"/>
      <x:c r="C89" s="28" t="str">
        <x:v>Base</x:v>
      </x:c>
      <x:c r="D89" s="27" t="n">
        <x:v>900000</x:v>
      </x:c>
      <x:c r="E89" s="2"/>
      <x:c r="F89" s="2"/>
      <x:c r="G89" s="2"/>
      <x:c r="H89" s="2"/>
      <x:c r="I89" s="2"/>
      <x:c r="J89" s="2"/>
    </x:row>
    <x:row r="90" ht="21" customHeight="1">
      <x:c r="A90" s="2"/>
      <x:c r="B90" s="2"/>
      <x:c r="C90" s="28" t="str">
        <x:v>Downside</x:v>
      </x:c>
      <x:c r="D90" s="27" t="n">
        <x:v>900000</x:v>
      </x:c>
      <x:c r="E90" s="2"/>
      <x:c r="F90" s="2"/>
      <x:c r="G90" s="2"/>
      <x:c r="H90" s="2"/>
      <x:c r="I90" s="2"/>
      <x:c r="J90" s="2"/>
    </x:row>
    <x:row r="91" ht="21" customHeight="1">
      <x:c r="A91" s="2"/>
      <x:c r="B91" s="2"/>
      <x:c r="C91" s="2"/>
      <x:c r="D91" s="2"/>
      <x:c r="E91" s="2"/>
      <x:c r="F91" s="2"/>
      <x:c r="G91" s="2"/>
      <x:c r="H91" s="2"/>
      <x:c r="I91" s="2"/>
      <x:c r="J91" s="2"/>
    </x:row>
    <x:row r="92" ht="21" customHeight="1">
      <x:c r="A92" s="2"/>
      <x:c r="B92" s="2"/>
      <x:c r="C92" s="2"/>
      <x:c r="D92" s="2"/>
      <x:c r="E92" s="2"/>
      <x:c r="F92" s="2"/>
      <x:c r="G92" s="2"/>
      <x:c r="H92" s="2"/>
      <x:c r="I92" s="2"/>
      <x:c r="J92" s="2"/>
    </x:row>
    <x:row r="93" ht="21" customHeight="1">
      <x:c r="A93" s="2"/>
      <x:c r="B93" s="2"/>
      <x:c r="C93" s="2"/>
      <x:c r="D93" s="2"/>
      <x:c r="E93" s="2"/>
      <x:c r="F93" s="2"/>
      <x:c r="G93" s="2"/>
      <x:c r="H93" s="2"/>
      <x:c r="I93" s="2"/>
      <x:c r="J93" s="2"/>
    </x:row>
    <x:row r="94" ht="21" customHeight="1">
      <x:c r="A94" s="2"/>
      <x:c r="B94" s="2"/>
      <x:c r="C94" s="2"/>
      <x:c r="D94" s="2"/>
      <x:c r="E94" s="2"/>
      <x:c r="F94" s="2"/>
      <x:c r="G94" s="2"/>
      <x:c r="H94" s="2"/>
      <x:c r="I94" s="2"/>
      <x:c r="J94" s="2"/>
    </x:row>
    <x:row r="95" ht="21" customHeight="1">
      <x:c r="A95" s="2"/>
      <x:c r="B95" s="2"/>
      <x:c r="C95" s="2"/>
      <x:c r="D95" s="2"/>
      <x:c r="E95" s="2"/>
      <x:c r="F95" s="2"/>
      <x:c r="G95" s="2"/>
      <x:c r="H95" s="2"/>
      <x:c r="I95" s="2"/>
      <x:c r="J95" s="2"/>
    </x:row>
    <x:row r="96" ht="21" customHeight="1">
      <x:c r="A96" s="2"/>
      <x:c r="B96" s="2"/>
      <x:c r="C96" s="2"/>
      <x:c r="D96" s="2"/>
      <x:c r="E96" s="2"/>
      <x:c r="F96" s="2"/>
      <x:c r="G96" s="2"/>
      <x:c r="H96" s="2"/>
      <x:c r="I96" s="2"/>
      <x:c r="J96" s="2"/>
    </x:row>
  </x:sheetData>
  <x:dataValidations count="56">
    <x:dataValidation type="list" sqref="D5">
      <x:formula1>"1,2"</x:formula1>
    </x:dataValidation>
    <x:dataValidation type="decimal" operator="between" sqref="D7">
      <x:formula1>2000</x:formula1>
      <x:formula2>2100</x:formula2>
    </x:dataValidation>
    <x:dataValidation type="decimal" operator="between" sqref="D11">
      <x:formula1>0</x:formula1>
      <x:formula2>1000000000000</x:formula2>
    </x:dataValidation>
    <x:dataValidation type="decimal" operator="between" sqref="D12">
      <x:formula1>0</x:formula1>
      <x:formula2>1000000000000</x:formula2>
    </x:dataValidation>
    <x:dataValidation type="decimal" operator="between" sqref="D14">
      <x:formula1>0</x:formula1>
      <x:formula2>1000000000000</x:formula2>
    </x:dataValidation>
    <x:dataValidation type="decimal" operator="between" sqref="D15">
      <x:formula1>0</x:formula1>
      <x:formula2>1000000000000</x:formula2>
    </x:dataValidation>
    <x:dataValidation type="decimal" operator="between" sqref="D17">
      <x:formula1>0</x:formula1>
      <x:formula2>1000000000000</x:formula2>
    </x:dataValidation>
    <x:dataValidation type="decimal" operator="between" sqref="D18">
      <x:formula1>0</x:formula1>
      <x:formula2>1000000000000</x:formula2>
    </x:dataValidation>
    <x:dataValidation type="decimal" operator="between" sqref="D20">
      <x:formula1>0</x:formula1>
      <x:formula2>1000000000000</x:formula2>
    </x:dataValidation>
    <x:dataValidation type="decimal" operator="between" sqref="D21">
      <x:formula1>0</x:formula1>
      <x:formula2>1000000000000</x:formula2>
    </x:dataValidation>
    <x:dataValidation type="decimal" operator="between" sqref="D23">
      <x:formula1>0</x:formula1>
      <x:formula2>1000000000000</x:formula2>
    </x:dataValidation>
    <x:dataValidation type="decimal" operator="between" sqref="D24">
      <x:formula1>0</x:formula1>
      <x:formula2>1000000000000</x:formula2>
    </x:dataValidation>
    <x:dataValidation type="decimal" operator="between" sqref="D26">
      <x:formula1>0</x:formula1>
      <x:formula2>1000000000000</x:formula2>
    </x:dataValidation>
    <x:dataValidation type="decimal" operator="between" sqref="D27">
      <x:formula1>0</x:formula1>
      <x:formula2>1000000000000</x:formula2>
    </x:dataValidation>
    <x:dataValidation type="decimal" operator="between" sqref="D29">
      <x:formula1>0</x:formula1>
      <x:formula2>1000000000000</x:formula2>
    </x:dataValidation>
    <x:dataValidation type="decimal" operator="between" sqref="D30">
      <x:formula1>0</x:formula1>
      <x:formula2>1000000000000</x:formula2>
    </x:dataValidation>
    <x:dataValidation type="decimal" operator="between" sqref="D32">
      <x:formula1>0</x:formula1>
      <x:formula2>1</x:formula2>
    </x:dataValidation>
    <x:dataValidation type="decimal" operator="between" sqref="D33">
      <x:formula1>0</x:formula1>
      <x:formula2>1</x:formula2>
    </x:dataValidation>
    <x:dataValidation type="decimal" operator="between" sqref="D35">
      <x:formula1>1</x:formula1>
      <x:formula2>50</x:formula2>
    </x:dataValidation>
    <x:dataValidation type="decimal" operator="between" sqref="D36">
      <x:formula1>1</x:formula1>
      <x:formula2>50</x:formula2>
    </x:dataValidation>
    <x:dataValidation type="decimal" operator="between" sqref="D38">
      <x:formula1>0</x:formula1>
      <x:formula2>12</x:formula2>
    </x:dataValidation>
    <x:dataValidation type="decimal" operator="between" sqref="D39">
      <x:formula1>0</x:formula1>
      <x:formula2>12</x:formula2>
    </x:dataValidation>
    <x:dataValidation type="decimal" operator="between" sqref="D41">
      <x:formula1>12</x:formula1>
      <x:formula2>600</x:formula2>
    </x:dataValidation>
    <x:dataValidation type="decimal" operator="between" sqref="D42">
      <x:formula1>12</x:formula1>
      <x:formula2>600</x:formula2>
    </x:dataValidation>
    <x:dataValidation type="decimal" operator="between" sqref="D44">
      <x:formula1>0</x:formula1>
      <x:formula2>1</x:formula2>
    </x:dataValidation>
    <x:dataValidation type="decimal" operator="between" sqref="D45">
      <x:formula1>0</x:formula1>
      <x:formula2>1</x:formula2>
    </x:dataValidation>
    <x:dataValidation type="decimal" operator="between" sqref="D47">
      <x:formula1>0.01</x:formula1>
      <x:formula2>10</x:formula2>
    </x:dataValidation>
    <x:dataValidation type="decimal" operator="between" sqref="D48">
      <x:formula1>0.01</x:formula1>
      <x:formula2>10</x:formula2>
    </x:dataValidation>
    <x:dataValidation type="decimal" operator="between" sqref="D50">
      <x:formula1>0.0001</x:formula1>
      <x:formula2>1</x:formula2>
    </x:dataValidation>
    <x:dataValidation type="decimal" operator="between" sqref="D51">
      <x:formula1>0.0001</x:formula1>
      <x:formula2>1</x:formula2>
    </x:dataValidation>
    <x:dataValidation type="decimal" operator="between" sqref="D53">
      <x:formula1>-1000000000000</x:formula1>
      <x:formula2>1000000000000</x:formula2>
    </x:dataValidation>
    <x:dataValidation type="decimal" operator="between" sqref="D54">
      <x:formula1>-1000000000000</x:formula1>
      <x:formula2>1000000000000</x:formula2>
    </x:dataValidation>
    <x:dataValidation type="decimal" operator="between" sqref="D56">
      <x:formula1>0</x:formula1>
      <x:formula2>1000000000000</x:formula2>
    </x:dataValidation>
    <x:dataValidation type="decimal" operator="between" sqref="D57">
      <x:formula1>0</x:formula1>
      <x:formula2>1000000000000</x:formula2>
    </x:dataValidation>
    <x:dataValidation type="decimal" operator="between" sqref="D59">
      <x:formula1>0</x:formula1>
      <x:formula2>1</x:formula2>
    </x:dataValidation>
    <x:dataValidation type="decimal" operator="between" sqref="D60">
      <x:formula1>0</x:formula1>
      <x:formula2>1</x:formula2>
    </x:dataValidation>
    <x:dataValidation type="decimal" operator="between" sqref="D62">
      <x:formula1>0</x:formula1>
      <x:formula2>2</x:formula2>
    </x:dataValidation>
    <x:dataValidation type="decimal" operator="between" sqref="D63">
      <x:formula1>0</x:formula1>
      <x:formula2>2</x:formula2>
    </x:dataValidation>
    <x:dataValidation type="decimal" operator="between" sqref="D65">
      <x:formula1>0</x:formula1>
      <x:formula2>2</x:formula2>
    </x:dataValidation>
    <x:dataValidation type="decimal" operator="between" sqref="D66">
      <x:formula1>0</x:formula1>
      <x:formula2>2</x:formula2>
    </x:dataValidation>
    <x:dataValidation type="decimal" operator="between" sqref="D68">
      <x:formula1>0</x:formula1>
      <x:formula2>3</x:formula2>
    </x:dataValidation>
    <x:dataValidation type="decimal" operator="between" sqref="D69">
      <x:formula1>0</x:formula1>
      <x:formula2>3</x:formula2>
    </x:dataValidation>
    <x:dataValidation type="decimal" operator="between" sqref="D71">
      <x:formula1>0</x:formula1>
      <x:formula2>3</x:formula2>
    </x:dataValidation>
    <x:dataValidation type="decimal" operator="between" sqref="D72">
      <x:formula1>0</x:formula1>
      <x:formula2>3</x:formula2>
    </x:dataValidation>
    <x:dataValidation type="decimal" operator="between" sqref="D74">
      <x:formula1>0</x:formula1>
      <x:formula2>1000000000000</x:formula2>
    </x:dataValidation>
    <x:dataValidation type="decimal" operator="between" sqref="D75">
      <x:formula1>0</x:formula1>
      <x:formula2>1000000000000</x:formula2>
    </x:dataValidation>
    <x:dataValidation type="decimal" operator="between" sqref="D77">
      <x:formula1>0</x:formula1>
      <x:formula2>1000000000000</x:formula2>
    </x:dataValidation>
    <x:dataValidation type="decimal" operator="between" sqref="D78">
      <x:formula1>0</x:formula1>
      <x:formula2>1000000000000</x:formula2>
    </x:dataValidation>
    <x:dataValidation type="decimal" operator="between" sqref="D80">
      <x:formula1>0</x:formula1>
      <x:formula2>1000000000000</x:formula2>
    </x:dataValidation>
    <x:dataValidation type="decimal" operator="between" sqref="D81">
      <x:formula1>0</x:formula1>
      <x:formula2>1000000000000</x:formula2>
    </x:dataValidation>
    <x:dataValidation type="decimal" operator="between" sqref="D83">
      <x:formula1>0</x:formula1>
      <x:formula2>1000000000000</x:formula2>
    </x:dataValidation>
    <x:dataValidation type="decimal" operator="between" sqref="D84">
      <x:formula1>0</x:formula1>
      <x:formula2>1000000000000</x:formula2>
    </x:dataValidation>
    <x:dataValidation type="decimal" operator="between" sqref="D86">
      <x:formula1>0</x:formula1>
      <x:formula2>1000000000000</x:formula2>
    </x:dataValidation>
    <x:dataValidation type="decimal" operator="between" sqref="D87">
      <x:formula1>0</x:formula1>
      <x:formula2>1000000000000</x:formula2>
    </x:dataValidation>
    <x:dataValidation type="decimal" operator="between" sqref="D89">
      <x:formula1>0</x:formula1>
      <x:formula2>1000000000000</x:formula2>
    </x:dataValidation>
    <x:dataValidation type="decimal" operator="between" sqref="D90">
      <x:formula1>0</x:formula1>
      <x:formula2>1000000000000</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16"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28"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row>
    <x:row r="2" ht="21" customHeight="1">
      <x:c r="A2" s="2"/>
      <x:c r="B2" s="2"/>
      <x:c r="C2" s="3" t="str">
        <x:v>Services and Restricted Cash</x:v>
      </x:c>
      <x:c r="D2" s="2"/>
      <x:c r="E2" s="2"/>
      <x:c r="F2" s="2"/>
      <x:c r="G2" s="2"/>
      <x:c r="H2" s="2"/>
      <x:c r="I2" s="2"/>
      <x:c r="J2" s="2"/>
      <x:c r="K2" s="2"/>
      <x:c r="L2" s="2"/>
      <x:c r="M2" s="2"/>
      <x:c r="N2" s="2"/>
      <x:c r="O2" s="2"/>
      <x:c r="P2" s="2"/>
    </x:row>
    <x:row r="3" ht="21" customHeight="1">
      <x:c r="A3" s="2"/>
      <x:c r="B3" s="2"/>
      <x:c r="C3" s="4"/>
      <x:c r="D3" s="4"/>
      <x:c r="E3" s="4"/>
      <x:c r="F3" s="4"/>
      <x:c r="G3" s="4"/>
      <x:c r="H3" s="4"/>
      <x:c r="I3" s="4"/>
      <x:c r="J3" s="4"/>
      <x:c r="K3" s="4"/>
      <x:c r="L3" s="4"/>
      <x:c r="M3" s="4"/>
      <x:c r="N3" s="4"/>
      <x:c r="O3" s="4"/>
      <x:c r="P3" s="4"/>
      <x:c r="Q3" s="5"/>
      <x:c r="R3" s="5"/>
    </x:row>
    <x:row r="4" ht="21" customHeight="1">
      <x:c r="A4" s="2"/>
      <x:c r="B4" s="2"/>
      <x:c r="C4" s="2"/>
      <x:c r="D4" s="2"/>
      <x:c r="E4" s="2"/>
      <x:c r="F4" s="2"/>
      <x:c r="G4" s="2"/>
      <x:c r="H4" s="2"/>
      <x:c r="I4" s="2"/>
      <x:c r="J4" s="2"/>
      <x:c r="K4" s="2"/>
      <x:c r="L4" s="2"/>
      <x:c r="M4" s="2"/>
      <x:c r="N4" s="2"/>
      <x:c r="O4" s="2"/>
      <x:c r="P4" s="2"/>
    </x:row>
    <x:row r="5" ht="21" customHeight="1">
      <x:c r="A5" s="2"/>
      <x:c r="B5" s="2"/>
      <x:c r="C5" s="2" t="str">
        <x:v>Case selected</x:v>
      </x:c>
      <x:c r="D5" s="9" t="str">
        <x:f>'Assumptions'!D6</x:f>
        <x:v>Base</x:v>
      </x:c>
      <x:c r="E5" s="2"/>
      <x:c r="F5" s="2"/>
      <x:c r="G5" s="2"/>
      <x:c r="H5" s="2"/>
      <x:c r="I5" s="2"/>
      <x:c r="J5" s="2"/>
      <x:c r="K5" s="2"/>
      <x:c r="L5" s="2"/>
      <x:c r="M5" s="2"/>
      <x:c r="N5" s="2"/>
      <x:c r="O5" s="2"/>
      <x:c r="P5" s="2"/>
    </x:row>
    <x:row r="6" ht="21" customHeight="1">
      <x:c r="A6" s="2"/>
      <x:c r="B6" s="2"/>
      <x:c r="C6" s="2"/>
      <x:c r="D6" s="2"/>
      <x:c r="E6" s="2"/>
      <x:c r="F6" s="2"/>
      <x:c r="G6" s="2"/>
      <x:c r="H6" s="2"/>
      <x:c r="I6" s="2"/>
      <x:c r="J6" s="2"/>
      <x:c r="K6" s="2"/>
      <x:c r="L6" s="2"/>
      <x:c r="M6" s="2"/>
      <x:c r="N6" s="2"/>
      <x:c r="O6" s="2"/>
      <x:c r="P6" s="2"/>
    </x:row>
    <x:row r="7" ht="21" customHeight="1">
      <x:c r="A7" s="2"/>
      <x:c r="B7" s="2"/>
      <x:c r="C7" s="2" t="str">
        <x:v>All entries below are illustrative inputs. Replace with verified property records.</x:v>
      </x:c>
      <x:c r="D7" s="2"/>
      <x:c r="E7" s="2"/>
      <x:c r="F7" s="2"/>
      <x:c r="G7" s="2"/>
      <x:c r="H7" s="2"/>
      <x:c r="I7" s="2"/>
      <x:c r="J7" s="2"/>
      <x:c r="K7" s="2"/>
      <x:c r="L7" s="2"/>
      <x:c r="M7" s="2"/>
      <x:c r="N7" s="2"/>
      <x:c r="O7" s="2"/>
      <x:c r="P7" s="2"/>
    </x:row>
    <x:row r="8" ht="21" customHeight="1">
      <x:c r="A8" s="2"/>
      <x:c r="B8" s="2"/>
      <x:c r="C8" s="2"/>
      <x:c r="D8" s="2"/>
      <x:c r="E8" s="2"/>
      <x:c r="F8" s="2"/>
      <x:c r="G8" s="2"/>
      <x:c r="H8" s="2"/>
      <x:c r="I8" s="2"/>
      <x:c r="J8" s="2"/>
      <x:c r="K8" s="2"/>
      <x:c r="L8" s="2"/>
      <x:c r="M8" s="2"/>
      <x:c r="N8" s="2"/>
      <x:c r="O8" s="2"/>
      <x:c r="P8" s="2"/>
    </x:row>
    <x:row r="9" ht="30" customHeight="1">
      <x:c r="A9" s="2"/>
      <x:c r="B9" s="2"/>
      <x:c r="C9" s="21" t="str">
        <x:v>Month</x:v>
      </x:c>
      <x:c r="D9" s="21" t="str">
        <x:v>At-need services</x:v>
      </x:c>
      <x:c r="E9" s="21" t="str">
        <x:v>At-need collected fee</x:v>
      </x:c>
      <x:c r="F9" s="21" t="str">
        <x:v>Fulfilled preneed services</x:v>
      </x:c>
      <x:c r="G9" s="21" t="str">
        <x:v>Verified release / fulfilled service</x:v>
      </x:c>
      <x:c r="H9" s="21" t="str">
        <x:v>New restricted preneed contracts</x:v>
      </x:c>
      <x:c r="I9" s="21" t="str">
        <x:v>Restricted deposit / new contract</x:v>
      </x:c>
      <x:c r="J9" s="21" t="str">
        <x:v>Direct cost / fulfilled service</x:v>
      </x:c>
      <x:c r="K9" s="21" t="str">
        <x:v>Staff payroll cash</x:v>
      </x:c>
      <x:c r="L9" s="21" t="str">
        <x:v>Other business cash costs</x:v>
      </x:c>
      <x:c r="M9" s="21" t="str">
        <x:v>Expansion capital</x:v>
      </x:c>
      <x:c r="N9" s="21" t="str">
        <x:v>Input status</x:v>
      </x:c>
      <x:c r="O9" s="2"/>
      <x:c r="P9" s="2"/>
    </x:row>
    <x:row r="10" ht="21" customHeight="1">
      <x:c r="A10" s="2"/>
      <x:c r="B10" s="2"/>
      <x:c r="C10" s="43" t="n">
        <x:f>IF(ISNUMBER('Assumptions'!D7),IF(AND('Assumptions'!D7=INT('Assumptions'!D7),'Assumptions'!D7&gt;=2000,'Assumptions'!D7&lt;=2100),DATE('Assumptions'!D7,1,1),"n.a."),"n.a.")</x:f>
        <x:v>46388</x:v>
      </x:c>
      <x:c r="D10" s="16" t="n">
        <x:v>22</x:v>
      </x:c>
      <x:c r="E10" s="27" t="n">
        <x:v>7000</x:v>
      </x:c>
      <x:c r="F10" s="16" t="n">
        <x:v>8</x:v>
      </x:c>
      <x:c r="G10" s="27" t="n">
        <x:v>6000</x:v>
      </x:c>
      <x:c r="H10" s="16" t="n">
        <x:v>12</x:v>
      </x:c>
      <x:c r="I10" s="27" t="n">
        <x:v>6500</x:v>
      </x:c>
      <x:c r="J10" s="27" t="n">
        <x:v>2800</x:v>
      </x:c>
      <x:c r="K10" s="27" t="n">
        <x:v>48000</x:v>
      </x:c>
      <x:c r="L10" s="27" t="n">
        <x:v>19000</x:v>
      </x:c>
      <x:c r="M10" s="27" t="n">
        <x:v>0</x:v>
      </x:c>
      <x:c r="N10" s="13" t="str">
        <x:f>IF(AND(IF(ISNUMBER(D10),AND(D10&gt;=0,D10&lt;=1000000000000),FALSE),IF(ISNUMBER(E10),AND(E10&gt;=0,E10&lt;=1000000000000),FALSE),IF(ISNUMBER(F10),AND(F10&gt;=0,F10&lt;=1000000000000),FALSE),IF(ISNUMBER(G10),AND(G10&gt;=0,G10&lt;=1000000000000),FALSE),IF(ISNUMBER(H10),AND(H10&gt;=0,H10&lt;=1000000000000),FALSE),IF(ISNUMBER(I10),AND(I10&gt;=0,I10&lt;=1000000000000),FALSE),IF(ISNUMBER(J10),AND(J10&gt;=0,J10&lt;=1000000000000),FALSE),IF(ISNUMBER(K10),AND(K10&gt;=0,K10&lt;=1000000000000),FALSE),IF(ISNUMBER(L10),AND(L10&gt;=0,L10&lt;=1000000000000),FALSE),IF(ISNUMBER(M10),AND(M10&gt;=0,M10&lt;=1000000000000),FALSE)),"OK","Missing / invalid input")</x:f>
        <x:v>OK</x:v>
      </x:c>
      <x:c r="O10" s="2"/>
      <x:c r="P10" s="2"/>
    </x:row>
    <x:row r="11" ht="21" customHeight="1">
      <x:c r="A11" s="2"/>
      <x:c r="B11" s="2"/>
      <x:c r="C11" s="43" t="n">
        <x:f>IF(ISNUMBER('Assumptions'!D7),IF(AND('Assumptions'!D7=INT('Assumptions'!D7),'Assumptions'!D7&gt;=2000,'Assumptions'!D7&lt;=2100),DATE('Assumptions'!D7,2,1),"n.a."),"n.a.")</x:f>
        <x:v>46419</x:v>
      </x:c>
      <x:c r="D11" s="16" t="n">
        <x:v>22</x:v>
      </x:c>
      <x:c r="E11" s="27" t="n">
        <x:v>7000</x:v>
      </x:c>
      <x:c r="F11" s="16" t="n">
        <x:v>8</x:v>
      </x:c>
      <x:c r="G11" s="27" t="n">
        <x:v>6000</x:v>
      </x:c>
      <x:c r="H11" s="16" t="n">
        <x:v>12</x:v>
      </x:c>
      <x:c r="I11" s="27" t="n">
        <x:v>6500</x:v>
      </x:c>
      <x:c r="J11" s="27" t="n">
        <x:v>2800</x:v>
      </x:c>
      <x:c r="K11" s="27" t="n">
        <x:v>48000</x:v>
      </x:c>
      <x:c r="L11" s="27" t="n">
        <x:v>19000</x:v>
      </x:c>
      <x:c r="M11" s="27" t="n">
        <x:v>0</x:v>
      </x:c>
      <x:c r="N11" s="13" t="str">
        <x:f>IF(AND(IF(ISNUMBER(D11),AND(D11&gt;=0,D11&lt;=1000000000000),FALSE),IF(ISNUMBER(E11),AND(E11&gt;=0,E11&lt;=1000000000000),FALSE),IF(ISNUMBER(F11),AND(F11&gt;=0,F11&lt;=1000000000000),FALSE),IF(ISNUMBER(G11),AND(G11&gt;=0,G11&lt;=1000000000000),FALSE),IF(ISNUMBER(H11),AND(H11&gt;=0,H11&lt;=1000000000000),FALSE),IF(ISNUMBER(I11),AND(I11&gt;=0,I11&lt;=1000000000000),FALSE),IF(ISNUMBER(J11),AND(J11&gt;=0,J11&lt;=1000000000000),FALSE),IF(ISNUMBER(K11),AND(K11&gt;=0,K11&lt;=1000000000000),FALSE),IF(ISNUMBER(L11),AND(L11&gt;=0,L11&lt;=1000000000000),FALSE),IF(ISNUMBER(M11),AND(M11&gt;=0,M11&lt;=1000000000000),FALSE)),"OK","Missing / invalid input")</x:f>
        <x:v>OK</x:v>
      </x:c>
      <x:c r="O11" s="2"/>
      <x:c r="P11" s="2"/>
    </x:row>
    <x:row r="12" ht="21" customHeight="1">
      <x:c r="A12" s="2"/>
      <x:c r="B12" s="2"/>
      <x:c r="C12" s="43" t="n">
        <x:f>IF(ISNUMBER('Assumptions'!D7),IF(AND('Assumptions'!D7=INT('Assumptions'!D7),'Assumptions'!D7&gt;=2000,'Assumptions'!D7&lt;=2100),DATE('Assumptions'!D7,3,1),"n.a."),"n.a.")</x:f>
        <x:v>46447</x:v>
      </x:c>
      <x:c r="D12" s="16" t="n">
        <x:v>22</x:v>
      </x:c>
      <x:c r="E12" s="27" t="n">
        <x:v>7000</x:v>
      </x:c>
      <x:c r="F12" s="16" t="n">
        <x:v>8</x:v>
      </x:c>
      <x:c r="G12" s="27" t="n">
        <x:v>6000</x:v>
      </x:c>
      <x:c r="H12" s="16" t="n">
        <x:v>12</x:v>
      </x:c>
      <x:c r="I12" s="27" t="n">
        <x:v>6500</x:v>
      </x:c>
      <x:c r="J12" s="27" t="n">
        <x:v>2800</x:v>
      </x:c>
      <x:c r="K12" s="27" t="n">
        <x:v>48000</x:v>
      </x:c>
      <x:c r="L12" s="27" t="n">
        <x:v>19000</x:v>
      </x:c>
      <x:c r="M12" s="27" t="n">
        <x:v>0</x:v>
      </x:c>
      <x:c r="N12" s="13" t="str">
        <x:f>IF(AND(IF(ISNUMBER(D12),AND(D12&gt;=0,D12&lt;=1000000000000),FALSE),IF(ISNUMBER(E12),AND(E12&gt;=0,E12&lt;=1000000000000),FALSE),IF(ISNUMBER(F12),AND(F12&gt;=0,F12&lt;=1000000000000),FALSE),IF(ISNUMBER(G12),AND(G12&gt;=0,G12&lt;=1000000000000),FALSE),IF(ISNUMBER(H12),AND(H12&gt;=0,H12&lt;=1000000000000),FALSE),IF(ISNUMBER(I12),AND(I12&gt;=0,I12&lt;=1000000000000),FALSE),IF(ISNUMBER(J12),AND(J12&gt;=0,J12&lt;=1000000000000),FALSE),IF(ISNUMBER(K12),AND(K12&gt;=0,K12&lt;=1000000000000),FALSE),IF(ISNUMBER(L12),AND(L12&gt;=0,L12&lt;=1000000000000),FALSE),IF(ISNUMBER(M12),AND(M12&gt;=0,M12&lt;=1000000000000),FALSE)),"OK","Missing / invalid input")</x:f>
        <x:v>OK</x:v>
      </x:c>
      <x:c r="O12" s="2"/>
      <x:c r="P12" s="2"/>
    </x:row>
    <x:row r="13" ht="21" customHeight="1">
      <x:c r="A13" s="2"/>
      <x:c r="B13" s="2"/>
      <x:c r="C13" s="43" t="n">
        <x:f>IF(ISNUMBER('Assumptions'!D7),IF(AND('Assumptions'!D7=INT('Assumptions'!D7),'Assumptions'!D7&gt;=2000,'Assumptions'!D7&lt;=2100),DATE('Assumptions'!D7,4,1),"n.a."),"n.a.")</x:f>
        <x:v>46478</x:v>
      </x:c>
      <x:c r="D13" s="16" t="n">
        <x:v>22</x:v>
      </x:c>
      <x:c r="E13" s="27" t="n">
        <x:v>7000</x:v>
      </x:c>
      <x:c r="F13" s="16" t="n">
        <x:v>8</x:v>
      </x:c>
      <x:c r="G13" s="27" t="n">
        <x:v>6000</x:v>
      </x:c>
      <x:c r="H13" s="16" t="n">
        <x:v>12</x:v>
      </x:c>
      <x:c r="I13" s="27" t="n">
        <x:v>6500</x:v>
      </x:c>
      <x:c r="J13" s="27" t="n">
        <x:v>2800</x:v>
      </x:c>
      <x:c r="K13" s="27" t="n">
        <x:v>48000</x:v>
      </x:c>
      <x:c r="L13" s="27" t="n">
        <x:v>19000</x:v>
      </x:c>
      <x:c r="M13" s="27" t="n">
        <x:v>0</x:v>
      </x:c>
      <x:c r="N13" s="13" t="str">
        <x:f>IF(AND(IF(ISNUMBER(D13),AND(D13&gt;=0,D13&lt;=1000000000000),FALSE),IF(ISNUMBER(E13),AND(E13&gt;=0,E13&lt;=1000000000000),FALSE),IF(ISNUMBER(F13),AND(F13&gt;=0,F13&lt;=1000000000000),FALSE),IF(ISNUMBER(G13),AND(G13&gt;=0,G13&lt;=1000000000000),FALSE),IF(ISNUMBER(H13),AND(H13&gt;=0,H13&lt;=1000000000000),FALSE),IF(ISNUMBER(I13),AND(I13&gt;=0,I13&lt;=1000000000000),FALSE),IF(ISNUMBER(J13),AND(J13&gt;=0,J13&lt;=1000000000000),FALSE),IF(ISNUMBER(K13),AND(K13&gt;=0,K13&lt;=1000000000000),FALSE),IF(ISNUMBER(L13),AND(L13&gt;=0,L13&lt;=1000000000000),FALSE),IF(ISNUMBER(M13),AND(M13&gt;=0,M13&lt;=1000000000000),FALSE)),"OK","Missing / invalid input")</x:f>
        <x:v>OK</x:v>
      </x:c>
      <x:c r="O13" s="2"/>
      <x:c r="P13" s="2"/>
    </x:row>
    <x:row r="14" ht="21" customHeight="1">
      <x:c r="A14" s="2"/>
      <x:c r="B14" s="2"/>
      <x:c r="C14" s="43" t="n">
        <x:f>IF(ISNUMBER('Assumptions'!D7),IF(AND('Assumptions'!D7=INT('Assumptions'!D7),'Assumptions'!D7&gt;=2000,'Assumptions'!D7&lt;=2100),DATE('Assumptions'!D7,5,1),"n.a."),"n.a.")</x:f>
        <x:v>46508</x:v>
      </x:c>
      <x:c r="D14" s="16" t="n">
        <x:v>22</x:v>
      </x:c>
      <x:c r="E14" s="27" t="n">
        <x:v>7000</x:v>
      </x:c>
      <x:c r="F14" s="16" t="n">
        <x:v>8</x:v>
      </x:c>
      <x:c r="G14" s="27" t="n">
        <x:v>6000</x:v>
      </x:c>
      <x:c r="H14" s="16" t="n">
        <x:v>12</x:v>
      </x:c>
      <x:c r="I14" s="27" t="n">
        <x:v>6500</x:v>
      </x:c>
      <x:c r="J14" s="27" t="n">
        <x:v>2800</x:v>
      </x:c>
      <x:c r="K14" s="27" t="n">
        <x:v>48000</x:v>
      </x:c>
      <x:c r="L14" s="27" t="n">
        <x:v>19000</x:v>
      </x:c>
      <x:c r="M14" s="27" t="n">
        <x:v>75000</x:v>
      </x:c>
      <x:c r="N14" s="13" t="str">
        <x:f>IF(AND(IF(ISNUMBER(D14),AND(D14&gt;=0,D14&lt;=1000000000000),FALSE),IF(ISNUMBER(E14),AND(E14&gt;=0,E14&lt;=1000000000000),FALSE),IF(ISNUMBER(F14),AND(F14&gt;=0,F14&lt;=1000000000000),FALSE),IF(ISNUMBER(G14),AND(G14&gt;=0,G14&lt;=1000000000000),FALSE),IF(ISNUMBER(H14),AND(H14&gt;=0,H14&lt;=1000000000000),FALSE),IF(ISNUMBER(I14),AND(I14&gt;=0,I14&lt;=1000000000000),FALSE),IF(ISNUMBER(J14),AND(J14&gt;=0,J14&lt;=1000000000000),FALSE),IF(ISNUMBER(K14),AND(K14&gt;=0,K14&lt;=1000000000000),FALSE),IF(ISNUMBER(L14),AND(L14&gt;=0,L14&lt;=1000000000000),FALSE),IF(ISNUMBER(M14),AND(M14&gt;=0,M14&lt;=1000000000000),FALSE)),"OK","Missing / invalid input")</x:f>
        <x:v>OK</x:v>
      </x:c>
      <x:c r="O14" s="2"/>
      <x:c r="P14" s="2"/>
    </x:row>
    <x:row r="15" ht="21" customHeight="1">
      <x:c r="A15" s="2"/>
      <x:c r="B15" s="2"/>
      <x:c r="C15" s="43" t="n">
        <x:f>IF(ISNUMBER('Assumptions'!D7),IF(AND('Assumptions'!D7=INT('Assumptions'!D7),'Assumptions'!D7&gt;=2000,'Assumptions'!D7&lt;=2100),DATE('Assumptions'!D7,6,1),"n.a."),"n.a.")</x:f>
        <x:v>46539</x:v>
      </x:c>
      <x:c r="D15" s="16" t="n">
        <x:v>22</x:v>
      </x:c>
      <x:c r="E15" s="27" t="n">
        <x:v>7000</x:v>
      </x:c>
      <x:c r="F15" s="16" t="n">
        <x:v>8</x:v>
      </x:c>
      <x:c r="G15" s="27" t="n">
        <x:v>6000</x:v>
      </x:c>
      <x:c r="H15" s="16" t="n">
        <x:v>12</x:v>
      </x:c>
      <x:c r="I15" s="27" t="n">
        <x:v>6500</x:v>
      </x:c>
      <x:c r="J15" s="27" t="n">
        <x:v>2800</x:v>
      </x:c>
      <x:c r="K15" s="27" t="n">
        <x:v>48000</x:v>
      </x:c>
      <x:c r="L15" s="27" t="n">
        <x:v>19000</x:v>
      </x:c>
      <x:c r="M15" s="27" t="n">
        <x:v>0</x:v>
      </x:c>
      <x:c r="N15" s="13" t="str">
        <x:f>IF(AND(IF(ISNUMBER(D15),AND(D15&gt;=0,D15&lt;=1000000000000),FALSE),IF(ISNUMBER(E15),AND(E15&gt;=0,E15&lt;=1000000000000),FALSE),IF(ISNUMBER(F15),AND(F15&gt;=0,F15&lt;=1000000000000),FALSE),IF(ISNUMBER(G15),AND(G15&gt;=0,G15&lt;=1000000000000),FALSE),IF(ISNUMBER(H15),AND(H15&gt;=0,H15&lt;=1000000000000),FALSE),IF(ISNUMBER(I15),AND(I15&gt;=0,I15&lt;=1000000000000),FALSE),IF(ISNUMBER(J15),AND(J15&gt;=0,J15&lt;=1000000000000),FALSE),IF(ISNUMBER(K15),AND(K15&gt;=0,K15&lt;=1000000000000),FALSE),IF(ISNUMBER(L15),AND(L15&gt;=0,L15&lt;=1000000000000),FALSE),IF(ISNUMBER(M15),AND(M15&gt;=0,M15&lt;=1000000000000),FALSE)),"OK","Missing / invalid input")</x:f>
        <x:v>OK</x:v>
      </x:c>
      <x:c r="O15" s="2"/>
      <x:c r="P15" s="2"/>
    </x:row>
    <x:row r="16" ht="21" customHeight="1">
      <x:c r="A16" s="2"/>
      <x:c r="B16" s="2"/>
      <x:c r="C16" s="43" t="n">
        <x:f>IF(ISNUMBER('Assumptions'!D7),IF(AND('Assumptions'!D7=INT('Assumptions'!D7),'Assumptions'!D7&gt;=2000,'Assumptions'!D7&lt;=2100),DATE('Assumptions'!D7,7,1),"n.a."),"n.a.")</x:f>
        <x:v>46569</x:v>
      </x:c>
      <x:c r="D16" s="16" t="n">
        <x:v>22</x:v>
      </x:c>
      <x:c r="E16" s="27" t="n">
        <x:v>7000</x:v>
      </x:c>
      <x:c r="F16" s="16" t="n">
        <x:v>8</x:v>
      </x:c>
      <x:c r="G16" s="27" t="n">
        <x:v>6000</x:v>
      </x:c>
      <x:c r="H16" s="16" t="n">
        <x:v>12</x:v>
      </x:c>
      <x:c r="I16" s="27" t="n">
        <x:v>6500</x:v>
      </x:c>
      <x:c r="J16" s="27" t="n">
        <x:v>2800</x:v>
      </x:c>
      <x:c r="K16" s="27" t="n">
        <x:v>48000</x:v>
      </x:c>
      <x:c r="L16" s="27" t="n">
        <x:v>19000</x:v>
      </x:c>
      <x:c r="M16" s="27" t="n">
        <x:v>0</x:v>
      </x:c>
      <x:c r="N16" s="13" t="str">
        <x:f>IF(AND(IF(ISNUMBER(D16),AND(D16&gt;=0,D16&lt;=1000000000000),FALSE),IF(ISNUMBER(E16),AND(E16&gt;=0,E16&lt;=1000000000000),FALSE),IF(ISNUMBER(F16),AND(F16&gt;=0,F16&lt;=1000000000000),FALSE),IF(ISNUMBER(G16),AND(G16&gt;=0,G16&lt;=1000000000000),FALSE),IF(ISNUMBER(H16),AND(H16&gt;=0,H16&lt;=1000000000000),FALSE),IF(ISNUMBER(I16),AND(I16&gt;=0,I16&lt;=1000000000000),FALSE),IF(ISNUMBER(J16),AND(J16&gt;=0,J16&lt;=1000000000000),FALSE),IF(ISNUMBER(K16),AND(K16&gt;=0,K16&lt;=1000000000000),FALSE),IF(ISNUMBER(L16),AND(L16&gt;=0,L16&lt;=1000000000000),FALSE),IF(ISNUMBER(M16),AND(M16&gt;=0,M16&lt;=1000000000000),FALSE)),"OK","Missing / invalid input")</x:f>
        <x:v>OK</x:v>
      </x:c>
      <x:c r="O16" s="2"/>
      <x:c r="P16" s="2"/>
    </x:row>
    <x:row r="17" ht="21" customHeight="1">
      <x:c r="A17" s="2"/>
      <x:c r="B17" s="2"/>
      <x:c r="C17" s="43" t="n">
        <x:f>IF(ISNUMBER('Assumptions'!D7),IF(AND('Assumptions'!D7=INT('Assumptions'!D7),'Assumptions'!D7&gt;=2000,'Assumptions'!D7&lt;=2100),DATE('Assumptions'!D7,8,1),"n.a."),"n.a.")</x:f>
        <x:v>46600</x:v>
      </x:c>
      <x:c r="D17" s="16" t="n">
        <x:v>22</x:v>
      </x:c>
      <x:c r="E17" s="27" t="n">
        <x:v>7000</x:v>
      </x:c>
      <x:c r="F17" s="16" t="n">
        <x:v>8</x:v>
      </x:c>
      <x:c r="G17" s="27" t="n">
        <x:v>6000</x:v>
      </x:c>
      <x:c r="H17" s="16" t="n">
        <x:v>12</x:v>
      </x:c>
      <x:c r="I17" s="27" t="n">
        <x:v>6500</x:v>
      </x:c>
      <x:c r="J17" s="27" t="n">
        <x:v>2800</x:v>
      </x:c>
      <x:c r="K17" s="27" t="n">
        <x:v>48000</x:v>
      </x:c>
      <x:c r="L17" s="27" t="n">
        <x:v>19000</x:v>
      </x:c>
      <x:c r="M17" s="27" t="n">
        <x:v>0</x:v>
      </x:c>
      <x:c r="N17" s="13" t="str">
        <x:f>IF(AND(IF(ISNUMBER(D17),AND(D17&gt;=0,D17&lt;=1000000000000),FALSE),IF(ISNUMBER(E17),AND(E17&gt;=0,E17&lt;=1000000000000),FALSE),IF(ISNUMBER(F17),AND(F17&gt;=0,F17&lt;=1000000000000),FALSE),IF(ISNUMBER(G17),AND(G17&gt;=0,G17&lt;=1000000000000),FALSE),IF(ISNUMBER(H17),AND(H17&gt;=0,H17&lt;=1000000000000),FALSE),IF(ISNUMBER(I17),AND(I17&gt;=0,I17&lt;=1000000000000),FALSE),IF(ISNUMBER(J17),AND(J17&gt;=0,J17&lt;=1000000000000),FALSE),IF(ISNUMBER(K17),AND(K17&gt;=0,K17&lt;=1000000000000),FALSE),IF(ISNUMBER(L17),AND(L17&gt;=0,L17&lt;=1000000000000),FALSE),IF(ISNUMBER(M17),AND(M17&gt;=0,M17&lt;=1000000000000),FALSE)),"OK","Missing / invalid input")</x:f>
        <x:v>OK</x:v>
      </x:c>
      <x:c r="O17" s="2"/>
      <x:c r="P17" s="2"/>
    </x:row>
    <x:row r="18" ht="21" customHeight="1">
      <x:c r="A18" s="2"/>
      <x:c r="B18" s="2"/>
      <x:c r="C18" s="43" t="n">
        <x:f>IF(ISNUMBER('Assumptions'!D7),IF(AND('Assumptions'!D7=INT('Assumptions'!D7),'Assumptions'!D7&gt;=2000,'Assumptions'!D7&lt;=2100),DATE('Assumptions'!D7,9,1),"n.a."),"n.a.")</x:f>
        <x:v>46631</x:v>
      </x:c>
      <x:c r="D18" s="16" t="n">
        <x:v>22</x:v>
      </x:c>
      <x:c r="E18" s="27" t="n">
        <x:v>7000</x:v>
      </x:c>
      <x:c r="F18" s="16" t="n">
        <x:v>8</x:v>
      </x:c>
      <x:c r="G18" s="27" t="n">
        <x:v>6000</x:v>
      </x:c>
      <x:c r="H18" s="16" t="n">
        <x:v>12</x:v>
      </x:c>
      <x:c r="I18" s="27" t="n">
        <x:v>6500</x:v>
      </x:c>
      <x:c r="J18" s="27" t="n">
        <x:v>2800</x:v>
      </x:c>
      <x:c r="K18" s="27" t="n">
        <x:v>48000</x:v>
      </x:c>
      <x:c r="L18" s="27" t="n">
        <x:v>19000</x:v>
      </x:c>
      <x:c r="M18" s="27" t="n">
        <x:v>0</x:v>
      </x:c>
      <x:c r="N18" s="13" t="str">
        <x:f>IF(AND(IF(ISNUMBER(D18),AND(D18&gt;=0,D18&lt;=1000000000000),FALSE),IF(ISNUMBER(E18),AND(E18&gt;=0,E18&lt;=1000000000000),FALSE),IF(ISNUMBER(F18),AND(F18&gt;=0,F18&lt;=1000000000000),FALSE),IF(ISNUMBER(G18),AND(G18&gt;=0,G18&lt;=1000000000000),FALSE),IF(ISNUMBER(H18),AND(H18&gt;=0,H18&lt;=1000000000000),FALSE),IF(ISNUMBER(I18),AND(I18&gt;=0,I18&lt;=1000000000000),FALSE),IF(ISNUMBER(J18),AND(J18&gt;=0,J18&lt;=1000000000000),FALSE),IF(ISNUMBER(K18),AND(K18&gt;=0,K18&lt;=1000000000000),FALSE),IF(ISNUMBER(L18),AND(L18&gt;=0,L18&lt;=1000000000000),FALSE),IF(ISNUMBER(M18),AND(M18&gt;=0,M18&lt;=1000000000000),FALSE)),"OK","Missing / invalid input")</x:f>
        <x:v>OK</x:v>
      </x:c>
      <x:c r="O18" s="2"/>
      <x:c r="P18" s="2"/>
    </x:row>
    <x:row r="19" ht="21" customHeight="1">
      <x:c r="A19" s="2"/>
      <x:c r="B19" s="2"/>
      <x:c r="C19" s="43" t="n">
        <x:f>IF(ISNUMBER('Assumptions'!D7),IF(AND('Assumptions'!D7=INT('Assumptions'!D7),'Assumptions'!D7&gt;=2000,'Assumptions'!D7&lt;=2100),DATE('Assumptions'!D7,10,1),"n.a."),"n.a.")</x:f>
        <x:v>46661</x:v>
      </x:c>
      <x:c r="D19" s="16" t="n">
        <x:v>22</x:v>
      </x:c>
      <x:c r="E19" s="27" t="n">
        <x:v>7000</x:v>
      </x:c>
      <x:c r="F19" s="16" t="n">
        <x:v>8</x:v>
      </x:c>
      <x:c r="G19" s="27" t="n">
        <x:v>6000</x:v>
      </x:c>
      <x:c r="H19" s="16" t="n">
        <x:v>12</x:v>
      </x:c>
      <x:c r="I19" s="27" t="n">
        <x:v>6500</x:v>
      </x:c>
      <x:c r="J19" s="27" t="n">
        <x:v>2800</x:v>
      </x:c>
      <x:c r="K19" s="27" t="n">
        <x:v>48000</x:v>
      </x:c>
      <x:c r="L19" s="27" t="n">
        <x:v>19000</x:v>
      </x:c>
      <x:c r="M19" s="27" t="n">
        <x:v>0</x:v>
      </x:c>
      <x:c r="N19" s="13" t="str">
        <x:f>IF(AND(IF(ISNUMBER(D19),AND(D19&gt;=0,D19&lt;=1000000000000),FALSE),IF(ISNUMBER(E19),AND(E19&gt;=0,E19&lt;=1000000000000),FALSE),IF(ISNUMBER(F19),AND(F19&gt;=0,F19&lt;=1000000000000),FALSE),IF(ISNUMBER(G19),AND(G19&gt;=0,G19&lt;=1000000000000),FALSE),IF(ISNUMBER(H19),AND(H19&gt;=0,H19&lt;=1000000000000),FALSE),IF(ISNUMBER(I19),AND(I19&gt;=0,I19&lt;=1000000000000),FALSE),IF(ISNUMBER(J19),AND(J19&gt;=0,J19&lt;=1000000000000),FALSE),IF(ISNUMBER(K19),AND(K19&gt;=0,K19&lt;=1000000000000),FALSE),IF(ISNUMBER(L19),AND(L19&gt;=0,L19&lt;=1000000000000),FALSE),IF(ISNUMBER(M19),AND(M19&gt;=0,M19&lt;=1000000000000),FALSE)),"OK","Missing / invalid input")</x:f>
        <x:v>OK</x:v>
      </x:c>
      <x:c r="O19" s="2"/>
      <x:c r="P19" s="2"/>
    </x:row>
    <x:row r="20" ht="21" customHeight="1">
      <x:c r="A20" s="2"/>
      <x:c r="B20" s="2"/>
      <x:c r="C20" s="43" t="n">
        <x:f>IF(ISNUMBER('Assumptions'!D7),IF(AND('Assumptions'!D7=INT('Assumptions'!D7),'Assumptions'!D7&gt;=2000,'Assumptions'!D7&lt;=2100),DATE('Assumptions'!D7,11,1),"n.a."),"n.a.")</x:f>
        <x:v>46692</x:v>
      </x:c>
      <x:c r="D20" s="16" t="n">
        <x:v>22</x:v>
      </x:c>
      <x:c r="E20" s="27" t="n">
        <x:v>7000</x:v>
      </x:c>
      <x:c r="F20" s="16" t="n">
        <x:v>8</x:v>
      </x:c>
      <x:c r="G20" s="27" t="n">
        <x:v>6000</x:v>
      </x:c>
      <x:c r="H20" s="16" t="n">
        <x:v>12</x:v>
      </x:c>
      <x:c r="I20" s="27" t="n">
        <x:v>6500</x:v>
      </x:c>
      <x:c r="J20" s="27" t="n">
        <x:v>2800</x:v>
      </x:c>
      <x:c r="K20" s="27" t="n">
        <x:v>48000</x:v>
      </x:c>
      <x:c r="L20" s="27" t="n">
        <x:v>19000</x:v>
      </x:c>
      <x:c r="M20" s="27" t="n">
        <x:v>0</x:v>
      </x:c>
      <x:c r="N20" s="13" t="str">
        <x:f>IF(AND(IF(ISNUMBER(D20),AND(D20&gt;=0,D20&lt;=1000000000000),FALSE),IF(ISNUMBER(E20),AND(E20&gt;=0,E20&lt;=1000000000000),FALSE),IF(ISNUMBER(F20),AND(F20&gt;=0,F20&lt;=1000000000000),FALSE),IF(ISNUMBER(G20),AND(G20&gt;=0,G20&lt;=1000000000000),FALSE),IF(ISNUMBER(H20),AND(H20&gt;=0,H20&lt;=1000000000000),FALSE),IF(ISNUMBER(I20),AND(I20&gt;=0,I20&lt;=1000000000000),FALSE),IF(ISNUMBER(J20),AND(J20&gt;=0,J20&lt;=1000000000000),FALSE),IF(ISNUMBER(K20),AND(K20&gt;=0,K20&lt;=1000000000000),FALSE),IF(ISNUMBER(L20),AND(L20&gt;=0,L20&lt;=1000000000000),FALSE),IF(ISNUMBER(M20),AND(M20&gt;=0,M20&lt;=1000000000000),FALSE)),"OK","Missing / invalid input")</x:f>
        <x:v>OK</x:v>
      </x:c>
      <x:c r="O20" s="2"/>
      <x:c r="P20" s="2"/>
    </x:row>
    <x:row r="21" ht="21" customHeight="1">
      <x:c r="A21" s="2"/>
      <x:c r="B21" s="2"/>
      <x:c r="C21" s="43" t="n">
        <x:f>IF(ISNUMBER('Assumptions'!D7),IF(AND('Assumptions'!D7=INT('Assumptions'!D7),'Assumptions'!D7&gt;=2000,'Assumptions'!D7&lt;=2100),DATE('Assumptions'!D7,12,1),"n.a."),"n.a.")</x:f>
        <x:v>46722</x:v>
      </x:c>
      <x:c r="D21" s="16" t="n">
        <x:v>22</x:v>
      </x:c>
      <x:c r="E21" s="27" t="n">
        <x:v>7000</x:v>
      </x:c>
      <x:c r="F21" s="16" t="n">
        <x:v>8</x:v>
      </x:c>
      <x:c r="G21" s="27" t="n">
        <x:v>6000</x:v>
      </x:c>
      <x:c r="H21" s="16" t="n">
        <x:v>12</x:v>
      </x:c>
      <x:c r="I21" s="27" t="n">
        <x:v>6500</x:v>
      </x:c>
      <x:c r="J21" s="27" t="n">
        <x:v>2800</x:v>
      </x:c>
      <x:c r="K21" s="27" t="n">
        <x:v>48000</x:v>
      </x:c>
      <x:c r="L21" s="27" t="n">
        <x:v>19000</x:v>
      </x:c>
      <x:c r="M21" s="27" t="n">
        <x:v>0</x:v>
      </x:c>
      <x:c r="N21" s="13" t="str">
        <x:f>IF(AND(IF(ISNUMBER(D21),AND(D21&gt;=0,D21&lt;=1000000000000),FALSE),IF(ISNUMBER(E21),AND(E21&gt;=0,E21&lt;=1000000000000),FALSE),IF(ISNUMBER(F21),AND(F21&gt;=0,F21&lt;=1000000000000),FALSE),IF(ISNUMBER(G21),AND(G21&gt;=0,G21&lt;=1000000000000),FALSE),IF(ISNUMBER(H21),AND(H21&gt;=0,H21&lt;=1000000000000),FALSE),IF(ISNUMBER(I21),AND(I21&gt;=0,I21&lt;=1000000000000),FALSE),IF(ISNUMBER(J21),AND(J21&gt;=0,J21&lt;=1000000000000),FALSE),IF(ISNUMBER(K21),AND(K21&gt;=0,K21&lt;=1000000000000),FALSE),IF(ISNUMBER(L21),AND(L21&gt;=0,L21&lt;=1000000000000),FALSE),IF(ISNUMBER(M21),AND(M21&gt;=0,M21&lt;=1000000000000),FALSE)),"OK","Missing / invalid input")</x:f>
        <x:v>OK</x:v>
      </x:c>
      <x:c r="O21" s="2"/>
      <x:c r="P21" s="2"/>
    </x:row>
    <x:row r="22" ht="21" customHeight="1">
      <x:c r="A22" s="2"/>
      <x:c r="B22" s="2"/>
      <x:c r="C22" s="2"/>
      <x:c r="D22" s="2"/>
      <x:c r="E22" s="2"/>
      <x:c r="F22" s="2"/>
      <x:c r="G22" s="2"/>
      <x:c r="H22" s="2"/>
      <x:c r="I22" s="2"/>
      <x:c r="J22" s="2"/>
      <x:c r="K22" s="2"/>
      <x:c r="L22" s="2"/>
      <x:c r="M22" s="2"/>
      <x:c r="N22" s="2"/>
      <x:c r="O22" s="2"/>
      <x:c r="P22" s="2"/>
    </x:row>
    <x:row r="23" ht="21" customHeight="1">
      <x:c r="A23" s="2"/>
      <x:c r="B23" s="2"/>
      <x:c r="C23" s="2"/>
      <x:c r="D23" s="2"/>
      <x:c r="E23" s="2"/>
      <x:c r="F23" s="2"/>
      <x:c r="G23" s="2"/>
      <x:c r="H23" s="2"/>
      <x:c r="I23" s="2"/>
      <x:c r="J23" s="2"/>
      <x:c r="K23" s="2"/>
      <x:c r="L23" s="2"/>
      <x:c r="M23" s="2"/>
      <x:c r="N23" s="2"/>
      <x:c r="O23" s="2"/>
      <x:c r="P23" s="2"/>
    </x:row>
    <x:row r="24" ht="21" customHeight="1">
      <x:c r="A24" s="2"/>
      <x:c r="B24" s="2"/>
      <x:c r="C24" s="2"/>
      <x:c r="D24" s="2"/>
      <x:c r="E24" s="2"/>
      <x:c r="F24" s="2"/>
      <x:c r="G24" s="2"/>
      <x:c r="H24" s="2"/>
      <x:c r="I24" s="2"/>
      <x:c r="J24" s="2"/>
      <x:c r="K24" s="2"/>
      <x:c r="L24" s="2"/>
      <x:c r="M24" s="2"/>
      <x:c r="N24" s="2"/>
      <x:c r="O24" s="2"/>
      <x:c r="P24" s="2"/>
    </x:row>
    <x:row r="25" ht="21" customHeight="1">
      <x:c r="A25" s="2"/>
      <x:c r="B25" s="2"/>
      <x:c r="C25" s="2"/>
      <x:c r="D25" s="2"/>
      <x:c r="E25" s="2"/>
      <x:c r="F25" s="2"/>
      <x:c r="G25" s="2"/>
      <x:c r="H25" s="2"/>
      <x:c r="I25" s="2"/>
      <x:c r="J25" s="2"/>
      <x:c r="K25" s="2"/>
      <x:c r="L25" s="2"/>
      <x:c r="M25" s="2"/>
      <x:c r="N25" s="2"/>
      <x:c r="O25" s="2"/>
      <x:c r="P25" s="2"/>
    </x:row>
    <x:row r="26" ht="21" customHeight="1">
      <x:c r="A26" s="2"/>
      <x:c r="B26" s="2"/>
      <x:c r="C26" s="2"/>
      <x:c r="D26" s="2"/>
      <x:c r="E26" s="2"/>
      <x:c r="F26" s="2"/>
      <x:c r="G26" s="2"/>
      <x:c r="H26" s="2"/>
      <x:c r="I26" s="2"/>
      <x:c r="J26" s="2"/>
      <x:c r="K26" s="2"/>
      <x:c r="L26" s="2"/>
      <x:c r="M26" s="2"/>
      <x:c r="N26" s="2"/>
      <x:c r="O26" s="2"/>
      <x:c r="P26" s="2"/>
    </x:row>
    <x:row r="27" ht="21" customHeight="1">
      <x:c r="A27" s="2"/>
      <x:c r="B27" s="2"/>
      <x:c r="C27" s="2"/>
      <x:c r="D27" s="2"/>
      <x:c r="E27" s="2"/>
      <x:c r="F27" s="2"/>
      <x:c r="G27" s="2"/>
      <x:c r="H27" s="2"/>
      <x:c r="I27" s="2"/>
      <x:c r="J27" s="2"/>
      <x:c r="K27" s="2"/>
      <x:c r="L27" s="2"/>
      <x:c r="M27" s="2"/>
      <x:c r="N27" s="2"/>
      <x:c r="O27" s="2"/>
      <x:c r="P27" s="2"/>
    </x:row>
    <x:row r="28" ht="21" customHeight="1">
      <x:c r="A28" s="2"/>
      <x:c r="B28" s="2"/>
      <x:c r="C28" s="2"/>
      <x:c r="D28" s="2"/>
      <x:c r="E28" s="2"/>
      <x:c r="F28" s="2"/>
      <x:c r="G28" s="2"/>
      <x:c r="H28" s="2"/>
      <x:c r="I28" s="2"/>
      <x:c r="J28" s="2"/>
      <x:c r="K28" s="2"/>
      <x:c r="L28" s="2"/>
      <x:c r="M28" s="2"/>
      <x:c r="N28" s="2"/>
      <x:c r="O28" s="2"/>
      <x:c r="P28" s="2"/>
    </x:row>
    <x:row r="29" ht="21" customHeight="1">
      <x:c r="A29" s="2"/>
      <x:c r="B29" s="2"/>
      <x:c r="C29" s="2"/>
      <x:c r="D29" s="2"/>
      <x:c r="E29" s="2"/>
      <x:c r="F29" s="2"/>
      <x:c r="G29" s="2"/>
      <x:c r="H29" s="2"/>
      <x:c r="I29" s="2"/>
      <x:c r="J29" s="2"/>
      <x:c r="K29" s="2"/>
      <x:c r="L29" s="2"/>
      <x:c r="M29" s="2"/>
      <x:c r="N29" s="2"/>
      <x:c r="O29" s="2"/>
      <x:c r="P29" s="2"/>
    </x:row>
    <x:row r="30" ht="21" customHeight="1">
      <x:c r="A30" s="2"/>
      <x:c r="B30" s="2"/>
      <x:c r="C30" s="2"/>
      <x:c r="D30" s="2"/>
      <x:c r="E30" s="2"/>
      <x:c r="F30" s="2"/>
      <x:c r="G30" s="2"/>
      <x:c r="H30" s="2"/>
      <x:c r="I30" s="2"/>
      <x:c r="J30" s="2"/>
      <x:c r="K30" s="2"/>
      <x:c r="L30" s="2"/>
      <x:c r="M30" s="2"/>
      <x:c r="N30" s="2"/>
      <x:c r="O30" s="2"/>
      <x:c r="P30" s="2"/>
    </x:row>
    <x:row r="31" ht="21" customHeight="1">
      <x:c r="A31" s="2"/>
      <x:c r="B31" s="2"/>
      <x:c r="C31" s="2"/>
      <x:c r="D31" s="2"/>
      <x:c r="E31" s="2"/>
      <x:c r="F31" s="2"/>
      <x:c r="G31" s="2"/>
      <x:c r="H31" s="2"/>
      <x:c r="I31" s="2"/>
      <x:c r="J31" s="2"/>
      <x:c r="K31" s="2"/>
      <x:c r="L31" s="2"/>
      <x:c r="M31" s="2"/>
      <x:c r="N31" s="2"/>
      <x:c r="O31" s="2"/>
      <x:c r="P31" s="2"/>
    </x:row>
    <x:row r="32" ht="21" customHeight="1">
      <x:c r="A32" s="2"/>
      <x:c r="B32" s="2"/>
      <x:c r="C32" s="2"/>
      <x:c r="D32" s="2"/>
      <x:c r="E32" s="2"/>
      <x:c r="F32" s="2"/>
      <x:c r="G32" s="2"/>
      <x:c r="H32" s="2"/>
      <x:c r="I32" s="2"/>
      <x:c r="J32" s="2"/>
      <x:c r="K32" s="2"/>
      <x:c r="L32" s="2"/>
      <x:c r="M32" s="2"/>
      <x:c r="N32" s="2"/>
      <x:c r="O32" s="2"/>
      <x:c r="P32" s="2"/>
    </x:row>
  </x:sheetData>
  <x:conditionalFormatting sqref="N10:N21">
    <x:cfRule type="containsText" dxfId="0" priority="1" operator="containsText" text="invalid"/>
  </x:conditionalFormatting>
  <x:dataValidations count="120">
    <x:dataValidation type="decimal" operator="between" sqref="D10">
      <x:formula1>0</x:formula1>
      <x:formula2>1000000000000</x:formula2>
    </x:dataValidation>
    <x:dataValidation type="decimal" operator="between" sqref="E10">
      <x:formula1>0</x:formula1>
      <x:formula2>1000000000000</x:formula2>
    </x:dataValidation>
    <x:dataValidation type="decimal" operator="between" sqref="F10">
      <x:formula1>0</x:formula1>
      <x:formula2>1000000000000</x:formula2>
    </x:dataValidation>
    <x:dataValidation type="decimal" operator="between" sqref="G10">
      <x:formula1>0</x:formula1>
      <x:formula2>1000000000000</x:formula2>
    </x:dataValidation>
    <x:dataValidation type="decimal" operator="between" sqref="H10">
      <x:formula1>0</x:formula1>
      <x:formula2>1000000000000</x:formula2>
    </x:dataValidation>
    <x:dataValidation type="decimal" operator="between" sqref="I10">
      <x:formula1>0</x:formula1>
      <x:formula2>1000000000000</x:formula2>
    </x:dataValidation>
    <x:dataValidation type="decimal" operator="between" sqref="J10">
      <x:formula1>0</x:formula1>
      <x:formula2>1000000000000</x:formula2>
    </x:dataValidation>
    <x:dataValidation type="decimal" operator="between" sqref="K10">
      <x:formula1>0</x:formula1>
      <x:formula2>1000000000000</x:formula2>
    </x:dataValidation>
    <x:dataValidation type="decimal" operator="between" sqref="L10">
      <x:formula1>0</x:formula1>
      <x:formula2>1000000000000</x:formula2>
    </x:dataValidation>
    <x:dataValidation type="decimal" operator="between" sqref="M10">
      <x:formula1>0</x:formula1>
      <x:formula2>1000000000000</x:formula2>
    </x:dataValidation>
    <x:dataValidation type="decimal" operator="between" sqref="D11">
      <x:formula1>0</x:formula1>
      <x:formula2>1000000000000</x:formula2>
    </x:dataValidation>
    <x:dataValidation type="decimal" operator="between" sqref="E11">
      <x:formula1>0</x:formula1>
      <x:formula2>1000000000000</x:formula2>
    </x:dataValidation>
    <x:dataValidation type="decimal" operator="between" sqref="F11">
      <x:formula1>0</x:formula1>
      <x:formula2>1000000000000</x:formula2>
    </x:dataValidation>
    <x:dataValidation type="decimal" operator="between" sqref="G11">
      <x:formula1>0</x:formula1>
      <x:formula2>1000000000000</x:formula2>
    </x:dataValidation>
    <x:dataValidation type="decimal" operator="between" sqref="H11">
      <x:formula1>0</x:formula1>
      <x:formula2>1000000000000</x:formula2>
    </x:dataValidation>
    <x:dataValidation type="decimal" operator="between" sqref="I11">
      <x:formula1>0</x:formula1>
      <x:formula2>1000000000000</x:formula2>
    </x:dataValidation>
    <x:dataValidation type="decimal" operator="between" sqref="J11">
      <x:formula1>0</x:formula1>
      <x:formula2>1000000000000</x:formula2>
    </x:dataValidation>
    <x:dataValidation type="decimal" operator="between" sqref="K11">
      <x:formula1>0</x:formula1>
      <x:formula2>1000000000000</x:formula2>
    </x:dataValidation>
    <x:dataValidation type="decimal" operator="between" sqref="L11">
      <x:formula1>0</x:formula1>
      <x:formula2>1000000000000</x:formula2>
    </x:dataValidation>
    <x:dataValidation type="decimal" operator="between" sqref="M11">
      <x:formula1>0</x:formula1>
      <x:formula2>1000000000000</x:formula2>
    </x:dataValidation>
    <x:dataValidation type="decimal" operator="between" sqref="D12">
      <x:formula1>0</x:formula1>
      <x:formula2>1000000000000</x:formula2>
    </x:dataValidation>
    <x:dataValidation type="decimal" operator="between" sqref="E12">
      <x:formula1>0</x:formula1>
      <x:formula2>1000000000000</x:formula2>
    </x:dataValidation>
    <x:dataValidation type="decimal" operator="between" sqref="F12">
      <x:formula1>0</x:formula1>
      <x:formula2>1000000000000</x:formula2>
    </x:dataValidation>
    <x:dataValidation type="decimal" operator="between" sqref="G12">
      <x:formula1>0</x:formula1>
      <x:formula2>1000000000000</x:formula2>
    </x:dataValidation>
    <x:dataValidation type="decimal" operator="between" sqref="H12">
      <x:formula1>0</x:formula1>
      <x:formula2>1000000000000</x:formula2>
    </x:dataValidation>
    <x:dataValidation type="decimal" operator="between" sqref="I12">
      <x:formula1>0</x:formula1>
      <x:formula2>1000000000000</x:formula2>
    </x:dataValidation>
    <x:dataValidation type="decimal" operator="between" sqref="J12">
      <x:formula1>0</x:formula1>
      <x:formula2>1000000000000</x:formula2>
    </x:dataValidation>
    <x:dataValidation type="decimal" operator="between" sqref="K12">
      <x:formula1>0</x:formula1>
      <x:formula2>1000000000000</x:formula2>
    </x:dataValidation>
    <x:dataValidation type="decimal" operator="between" sqref="L12">
      <x:formula1>0</x:formula1>
      <x:formula2>1000000000000</x:formula2>
    </x:dataValidation>
    <x:dataValidation type="decimal" operator="between" sqref="M12">
      <x:formula1>0</x:formula1>
      <x:formula2>1000000000000</x:formula2>
    </x:dataValidation>
    <x:dataValidation type="decimal" operator="between" sqref="D13">
      <x:formula1>0</x:formula1>
      <x:formula2>1000000000000</x:formula2>
    </x:dataValidation>
    <x:dataValidation type="decimal" operator="between" sqref="E13">
      <x:formula1>0</x:formula1>
      <x:formula2>1000000000000</x:formula2>
    </x:dataValidation>
    <x:dataValidation type="decimal" operator="between" sqref="F13">
      <x:formula1>0</x:formula1>
      <x:formula2>1000000000000</x:formula2>
    </x:dataValidation>
    <x:dataValidation type="decimal" operator="between" sqref="G13">
      <x:formula1>0</x:formula1>
      <x:formula2>1000000000000</x:formula2>
    </x:dataValidation>
    <x:dataValidation type="decimal" operator="between" sqref="H13">
      <x:formula1>0</x:formula1>
      <x:formula2>1000000000000</x:formula2>
    </x:dataValidation>
    <x:dataValidation type="decimal" operator="between" sqref="I13">
      <x:formula1>0</x:formula1>
      <x:formula2>1000000000000</x:formula2>
    </x:dataValidation>
    <x:dataValidation type="decimal" operator="between" sqref="J13">
      <x:formula1>0</x:formula1>
      <x:formula2>1000000000000</x:formula2>
    </x:dataValidation>
    <x:dataValidation type="decimal" operator="between" sqref="K13">
      <x:formula1>0</x:formula1>
      <x:formula2>1000000000000</x:formula2>
    </x:dataValidation>
    <x:dataValidation type="decimal" operator="between" sqref="L13">
      <x:formula1>0</x:formula1>
      <x:formula2>1000000000000</x:formula2>
    </x:dataValidation>
    <x:dataValidation type="decimal" operator="between" sqref="M13">
      <x:formula1>0</x:formula1>
      <x:formula2>1000000000000</x:formula2>
    </x:dataValidation>
    <x:dataValidation type="decimal" operator="between" sqref="D14">
      <x:formula1>0</x:formula1>
      <x:formula2>1000000000000</x:formula2>
    </x:dataValidation>
    <x:dataValidation type="decimal" operator="between" sqref="E14">
      <x:formula1>0</x:formula1>
      <x:formula2>1000000000000</x:formula2>
    </x:dataValidation>
    <x:dataValidation type="decimal" operator="between" sqref="F14">
      <x:formula1>0</x:formula1>
      <x:formula2>1000000000000</x:formula2>
    </x:dataValidation>
    <x:dataValidation type="decimal" operator="between" sqref="G14">
      <x:formula1>0</x:formula1>
      <x:formula2>1000000000000</x:formula2>
    </x:dataValidation>
    <x:dataValidation type="decimal" operator="between" sqref="H14">
      <x:formula1>0</x:formula1>
      <x:formula2>1000000000000</x:formula2>
    </x:dataValidation>
    <x:dataValidation type="decimal" operator="between" sqref="I14">
      <x:formula1>0</x:formula1>
      <x:formula2>1000000000000</x:formula2>
    </x:dataValidation>
    <x:dataValidation type="decimal" operator="between" sqref="J14">
      <x:formula1>0</x:formula1>
      <x:formula2>1000000000000</x:formula2>
    </x:dataValidation>
    <x:dataValidation type="decimal" operator="between" sqref="K14">
      <x:formula1>0</x:formula1>
      <x:formula2>1000000000000</x:formula2>
    </x:dataValidation>
    <x:dataValidation type="decimal" operator="between" sqref="L14">
      <x:formula1>0</x:formula1>
      <x:formula2>1000000000000</x:formula2>
    </x:dataValidation>
    <x:dataValidation type="decimal" operator="between" sqref="M14">
      <x:formula1>0</x:formula1>
      <x:formula2>1000000000000</x:formula2>
    </x:dataValidation>
    <x:dataValidation type="decimal" operator="between" sqref="D15">
      <x:formula1>0</x:formula1>
      <x:formula2>1000000000000</x:formula2>
    </x:dataValidation>
    <x:dataValidation type="decimal" operator="between" sqref="E15">
      <x:formula1>0</x:formula1>
      <x:formula2>1000000000000</x:formula2>
    </x:dataValidation>
    <x:dataValidation type="decimal" operator="between" sqref="F15">
      <x:formula1>0</x:formula1>
      <x:formula2>1000000000000</x:formula2>
    </x:dataValidation>
    <x:dataValidation type="decimal" operator="between" sqref="G15">
      <x:formula1>0</x:formula1>
      <x:formula2>1000000000000</x:formula2>
    </x:dataValidation>
    <x:dataValidation type="decimal" operator="between" sqref="H15">
      <x:formula1>0</x:formula1>
      <x:formula2>1000000000000</x:formula2>
    </x:dataValidation>
    <x:dataValidation type="decimal" operator="between" sqref="I15">
      <x:formula1>0</x:formula1>
      <x:formula2>1000000000000</x:formula2>
    </x:dataValidation>
    <x:dataValidation type="decimal" operator="between" sqref="J15">
      <x:formula1>0</x:formula1>
      <x:formula2>1000000000000</x:formula2>
    </x:dataValidation>
    <x:dataValidation type="decimal" operator="between" sqref="K15">
      <x:formula1>0</x:formula1>
      <x:formula2>1000000000000</x:formula2>
    </x:dataValidation>
    <x:dataValidation type="decimal" operator="between" sqref="L15">
      <x:formula1>0</x:formula1>
      <x:formula2>1000000000000</x:formula2>
    </x:dataValidation>
    <x:dataValidation type="decimal" operator="between" sqref="M15">
      <x:formula1>0</x:formula1>
      <x:formula2>1000000000000</x:formula2>
    </x:dataValidation>
    <x:dataValidation type="decimal" operator="between" sqref="D16">
      <x:formula1>0</x:formula1>
      <x:formula2>1000000000000</x:formula2>
    </x:dataValidation>
    <x:dataValidation type="decimal" operator="between" sqref="E16">
      <x:formula1>0</x:formula1>
      <x:formula2>1000000000000</x:formula2>
    </x:dataValidation>
    <x:dataValidation type="decimal" operator="between" sqref="F16">
      <x:formula1>0</x:formula1>
      <x:formula2>1000000000000</x:formula2>
    </x:dataValidation>
    <x:dataValidation type="decimal" operator="between" sqref="G16">
      <x:formula1>0</x:formula1>
      <x:formula2>1000000000000</x:formula2>
    </x:dataValidation>
    <x:dataValidation type="decimal" operator="between" sqref="H16">
      <x:formula1>0</x:formula1>
      <x:formula2>1000000000000</x:formula2>
    </x:dataValidation>
    <x:dataValidation type="decimal" operator="between" sqref="I16">
      <x:formula1>0</x:formula1>
      <x:formula2>1000000000000</x:formula2>
    </x:dataValidation>
    <x:dataValidation type="decimal" operator="between" sqref="J16">
      <x:formula1>0</x:formula1>
      <x:formula2>1000000000000</x:formula2>
    </x:dataValidation>
    <x:dataValidation type="decimal" operator="between" sqref="K16">
      <x:formula1>0</x:formula1>
      <x:formula2>1000000000000</x:formula2>
    </x:dataValidation>
    <x:dataValidation type="decimal" operator="between" sqref="L16">
      <x:formula1>0</x:formula1>
      <x:formula2>1000000000000</x:formula2>
    </x:dataValidation>
    <x:dataValidation type="decimal" operator="between" sqref="M16">
      <x:formula1>0</x:formula1>
      <x:formula2>1000000000000</x:formula2>
    </x:dataValidation>
    <x:dataValidation type="decimal" operator="between" sqref="D17">
      <x:formula1>0</x:formula1>
      <x:formula2>1000000000000</x:formula2>
    </x:dataValidation>
    <x:dataValidation type="decimal" operator="between" sqref="E17">
      <x:formula1>0</x:formula1>
      <x:formula2>1000000000000</x:formula2>
    </x:dataValidation>
    <x:dataValidation type="decimal" operator="between" sqref="F17">
      <x:formula1>0</x:formula1>
      <x:formula2>1000000000000</x:formula2>
    </x:dataValidation>
    <x:dataValidation type="decimal" operator="between" sqref="G17">
      <x:formula1>0</x:formula1>
      <x:formula2>1000000000000</x:formula2>
    </x:dataValidation>
    <x:dataValidation type="decimal" operator="between" sqref="H17">
      <x:formula1>0</x:formula1>
      <x:formula2>1000000000000</x:formula2>
    </x:dataValidation>
    <x:dataValidation type="decimal" operator="between" sqref="I17">
      <x:formula1>0</x:formula1>
      <x:formula2>1000000000000</x:formula2>
    </x:dataValidation>
    <x:dataValidation type="decimal" operator="between" sqref="J17">
      <x:formula1>0</x:formula1>
      <x:formula2>1000000000000</x:formula2>
    </x:dataValidation>
    <x:dataValidation type="decimal" operator="between" sqref="K17">
      <x:formula1>0</x:formula1>
      <x:formula2>1000000000000</x:formula2>
    </x:dataValidation>
    <x:dataValidation type="decimal" operator="between" sqref="L17">
      <x:formula1>0</x:formula1>
      <x:formula2>1000000000000</x:formula2>
    </x:dataValidation>
    <x:dataValidation type="decimal" operator="between" sqref="M17">
      <x:formula1>0</x:formula1>
      <x:formula2>1000000000000</x:formula2>
    </x:dataValidation>
    <x:dataValidation type="decimal" operator="between" sqref="D18">
      <x:formula1>0</x:formula1>
      <x:formula2>1000000000000</x:formula2>
    </x:dataValidation>
    <x:dataValidation type="decimal" operator="between" sqref="E18">
      <x:formula1>0</x:formula1>
      <x:formula2>1000000000000</x:formula2>
    </x:dataValidation>
    <x:dataValidation type="decimal" operator="between" sqref="F18">
      <x:formula1>0</x:formula1>
      <x:formula2>1000000000000</x:formula2>
    </x:dataValidation>
    <x:dataValidation type="decimal" operator="between" sqref="G18">
      <x:formula1>0</x:formula1>
      <x:formula2>1000000000000</x:formula2>
    </x:dataValidation>
    <x:dataValidation type="decimal" operator="between" sqref="H18">
      <x:formula1>0</x:formula1>
      <x:formula2>1000000000000</x:formula2>
    </x:dataValidation>
    <x:dataValidation type="decimal" operator="between" sqref="I18">
      <x:formula1>0</x:formula1>
      <x:formula2>1000000000000</x:formula2>
    </x:dataValidation>
    <x:dataValidation type="decimal" operator="between" sqref="J18">
      <x:formula1>0</x:formula1>
      <x:formula2>1000000000000</x:formula2>
    </x:dataValidation>
    <x:dataValidation type="decimal" operator="between" sqref="K18">
      <x:formula1>0</x:formula1>
      <x:formula2>1000000000000</x:formula2>
    </x:dataValidation>
    <x:dataValidation type="decimal" operator="between" sqref="L18">
      <x:formula1>0</x:formula1>
      <x:formula2>1000000000000</x:formula2>
    </x:dataValidation>
    <x:dataValidation type="decimal" operator="between" sqref="M18">
      <x:formula1>0</x:formula1>
      <x:formula2>1000000000000</x:formula2>
    </x:dataValidation>
    <x:dataValidation type="decimal" operator="between" sqref="D19">
      <x:formula1>0</x:formula1>
      <x:formula2>1000000000000</x:formula2>
    </x:dataValidation>
    <x:dataValidation type="decimal" operator="between" sqref="E19">
      <x:formula1>0</x:formula1>
      <x:formula2>1000000000000</x:formula2>
    </x:dataValidation>
    <x:dataValidation type="decimal" operator="between" sqref="F19">
      <x:formula1>0</x:formula1>
      <x:formula2>1000000000000</x:formula2>
    </x:dataValidation>
    <x:dataValidation type="decimal" operator="between" sqref="G19">
      <x:formula1>0</x:formula1>
      <x:formula2>1000000000000</x:formula2>
    </x:dataValidation>
    <x:dataValidation type="decimal" operator="between" sqref="H19">
      <x:formula1>0</x:formula1>
      <x:formula2>1000000000000</x:formula2>
    </x:dataValidation>
    <x:dataValidation type="decimal" operator="between" sqref="I19">
      <x:formula1>0</x:formula1>
      <x:formula2>1000000000000</x:formula2>
    </x:dataValidation>
    <x:dataValidation type="decimal" operator="between" sqref="J19">
      <x:formula1>0</x:formula1>
      <x:formula2>1000000000000</x:formula2>
    </x:dataValidation>
    <x:dataValidation type="decimal" operator="between" sqref="K19">
      <x:formula1>0</x:formula1>
      <x:formula2>1000000000000</x:formula2>
    </x:dataValidation>
    <x:dataValidation type="decimal" operator="between" sqref="L19">
      <x:formula1>0</x:formula1>
      <x:formula2>1000000000000</x:formula2>
    </x:dataValidation>
    <x:dataValidation type="decimal" operator="between" sqref="M19">
      <x:formula1>0</x:formula1>
      <x:formula2>1000000000000</x:formula2>
    </x:dataValidation>
    <x:dataValidation type="decimal" operator="between" sqref="D20">
      <x:formula1>0</x:formula1>
      <x:formula2>1000000000000</x:formula2>
    </x:dataValidation>
    <x:dataValidation type="decimal" operator="between" sqref="E20">
      <x:formula1>0</x:formula1>
      <x:formula2>1000000000000</x:formula2>
    </x:dataValidation>
    <x:dataValidation type="decimal" operator="between" sqref="F20">
      <x:formula1>0</x:formula1>
      <x:formula2>1000000000000</x:formula2>
    </x:dataValidation>
    <x:dataValidation type="decimal" operator="between" sqref="G20">
      <x:formula1>0</x:formula1>
      <x:formula2>1000000000000</x:formula2>
    </x:dataValidation>
    <x:dataValidation type="decimal" operator="between" sqref="H20">
      <x:formula1>0</x:formula1>
      <x:formula2>1000000000000</x:formula2>
    </x:dataValidation>
    <x:dataValidation type="decimal" operator="between" sqref="I20">
      <x:formula1>0</x:formula1>
      <x:formula2>1000000000000</x:formula2>
    </x:dataValidation>
    <x:dataValidation type="decimal" operator="between" sqref="J20">
      <x:formula1>0</x:formula1>
      <x:formula2>1000000000000</x:formula2>
    </x:dataValidation>
    <x:dataValidation type="decimal" operator="between" sqref="K20">
      <x:formula1>0</x:formula1>
      <x:formula2>1000000000000</x:formula2>
    </x:dataValidation>
    <x:dataValidation type="decimal" operator="between" sqref="L20">
      <x:formula1>0</x:formula1>
      <x:formula2>1000000000000</x:formula2>
    </x:dataValidation>
    <x:dataValidation type="decimal" operator="between" sqref="M20">
      <x:formula1>0</x:formula1>
      <x:formula2>1000000000000</x:formula2>
    </x:dataValidation>
    <x:dataValidation type="decimal" operator="between" sqref="D21">
      <x:formula1>0</x:formula1>
      <x:formula2>1000000000000</x:formula2>
    </x:dataValidation>
    <x:dataValidation type="decimal" operator="between" sqref="E21">
      <x:formula1>0</x:formula1>
      <x:formula2>1000000000000</x:formula2>
    </x:dataValidation>
    <x:dataValidation type="decimal" operator="between" sqref="F21">
      <x:formula1>0</x:formula1>
      <x:formula2>1000000000000</x:formula2>
    </x:dataValidation>
    <x:dataValidation type="decimal" operator="between" sqref="G21">
      <x:formula1>0</x:formula1>
      <x:formula2>1000000000000</x:formula2>
    </x:dataValidation>
    <x:dataValidation type="decimal" operator="between" sqref="H21">
      <x:formula1>0</x:formula1>
      <x:formula2>1000000000000</x:formula2>
    </x:dataValidation>
    <x:dataValidation type="decimal" operator="between" sqref="I21">
      <x:formula1>0</x:formula1>
      <x:formula2>1000000000000</x:formula2>
    </x:dataValidation>
    <x:dataValidation type="decimal" operator="between" sqref="J21">
      <x:formula1>0</x:formula1>
      <x:formula2>1000000000000</x:formula2>
    </x:dataValidation>
    <x:dataValidation type="decimal" operator="between" sqref="K21">
      <x:formula1>0</x:formula1>
      <x:formula2>1000000000000</x:formula2>
    </x:dataValidation>
    <x:dataValidation type="decimal" operator="between" sqref="L21">
      <x:formula1>0</x:formula1>
      <x:formula2>1000000000000</x:formula2>
    </x:dataValidation>
    <x:dataValidation type="decimal" operator="between" sqref="M21">
      <x:formula1>0</x:formula1>
      <x:formula2>1000000000000</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54" hidden="0" customWidth="1"/>
    <x:col min="4" max="4" width="9" hidden="0" customWidth="1"/>
    <x:col min="5" max="5" width="17"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Monthly operating cash</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t="str">
        <x:v>Monthly cash convention. Listed business debt and maintenance capital are above residual cash.</x:v>
      </x:c>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30" customHeight="1">
      <x:c r="A9" s="2"/>
      <x:c r="B9" s="2"/>
      <x:c r="C9" s="21" t="str">
        <x:v>Operating driver / calculation</x:v>
      </x:c>
      <x:c r="D9" s="21" t="str">
        <x:v>Unit</x:v>
      </x:c>
      <x:c r="E9" s="21" t="str">
        <x:v>Year total</x:v>
      </x:c>
      <x:c r="F9" s="2"/>
      <x:c r="G9" s="46" t="n">
        <x:f>IF(ISNUMBER('Assumptions'!D7),IF(AND('Assumptions'!D7=INT('Assumptions'!D7),'Assumptions'!D7&gt;=2000,'Assumptions'!D7&lt;=2100),DATE('Assumptions'!D7,1,1),"n.a."),"n.a.")</x:f>
        <x:v>46388</x:v>
      </x:c>
      <x:c r="H9" s="46" t="n">
        <x:f>IF(ISNUMBER('Assumptions'!D7),IF(AND('Assumptions'!D7=INT('Assumptions'!D7),'Assumptions'!D7&gt;=2000,'Assumptions'!D7&lt;=2100),DATE('Assumptions'!D7,2,1),"n.a."),"n.a.")</x:f>
        <x:v>46419</x:v>
      </x:c>
      <x:c r="I9" s="46" t="n">
        <x:f>IF(ISNUMBER('Assumptions'!D7),IF(AND('Assumptions'!D7=INT('Assumptions'!D7),'Assumptions'!D7&gt;=2000,'Assumptions'!D7&lt;=2100),DATE('Assumptions'!D7,3,1),"n.a."),"n.a.")</x:f>
        <x:v>46447</x:v>
      </x:c>
      <x:c r="J9" s="46" t="n">
        <x:f>IF(ISNUMBER('Assumptions'!D7),IF(AND('Assumptions'!D7=INT('Assumptions'!D7),'Assumptions'!D7&gt;=2000,'Assumptions'!D7&lt;=2100),DATE('Assumptions'!D7,4,1),"n.a."),"n.a.")</x:f>
        <x:v>46478</x:v>
      </x:c>
      <x:c r="K9" s="46" t="n">
        <x:f>IF(ISNUMBER('Assumptions'!D7),IF(AND('Assumptions'!D7=INT('Assumptions'!D7),'Assumptions'!D7&gt;=2000,'Assumptions'!D7&lt;=2100),DATE('Assumptions'!D7,5,1),"n.a."),"n.a.")</x:f>
        <x:v>46508</x:v>
      </x:c>
      <x:c r="L9" s="46" t="n">
        <x:f>IF(ISNUMBER('Assumptions'!D7),IF(AND('Assumptions'!D7=INT('Assumptions'!D7),'Assumptions'!D7&gt;=2000,'Assumptions'!D7&lt;=2100),DATE('Assumptions'!D7,6,1),"n.a."),"n.a.")</x:f>
        <x:v>46539</x:v>
      </x:c>
      <x:c r="M9" s="46" t="n">
        <x:f>IF(ISNUMBER('Assumptions'!D7),IF(AND('Assumptions'!D7=INT('Assumptions'!D7),'Assumptions'!D7&gt;=2000,'Assumptions'!D7&lt;=2100),DATE('Assumptions'!D7,7,1),"n.a."),"n.a.")</x:f>
        <x:v>46569</x:v>
      </x:c>
      <x:c r="N9" s="46" t="n">
        <x:f>IF(ISNUMBER('Assumptions'!D7),IF(AND('Assumptions'!D7=INT('Assumptions'!D7),'Assumptions'!D7&gt;=2000,'Assumptions'!D7&lt;=2100),DATE('Assumptions'!D7,8,1),"n.a."),"n.a.")</x:f>
        <x:v>46600</x:v>
      </x:c>
      <x:c r="O9" s="46" t="n">
        <x:f>IF(ISNUMBER('Assumptions'!D7),IF(AND('Assumptions'!D7=INT('Assumptions'!D7),'Assumptions'!D7&gt;=2000,'Assumptions'!D7&lt;=2100),DATE('Assumptions'!D7,9,1),"n.a."),"n.a.")</x:f>
        <x:v>46631</x:v>
      </x:c>
      <x:c r="P9" s="46" t="n">
        <x:f>IF(ISNUMBER('Assumptions'!D7),IF(AND('Assumptions'!D7=INT('Assumptions'!D7),'Assumptions'!D7&gt;=2000,'Assumptions'!D7&lt;=2100),DATE('Assumptions'!D7,10,1),"n.a."),"n.a.")</x:f>
        <x:v>46661</x:v>
      </x:c>
      <x:c r="Q9" s="46" t="n">
        <x:f>IF(ISNUMBER('Assumptions'!D7),IF(AND('Assumptions'!D7=INT('Assumptions'!D7),'Assumptions'!D7&gt;=2000,'Assumptions'!D7&lt;=2100),DATE('Assumptions'!D7,11,1),"n.a."),"n.a.")</x:f>
        <x:v>46692</x:v>
      </x:c>
      <x:c r="R9" s="46" t="n">
        <x:f>IF(ISNUMBER('Assumptions'!D7),IF(AND('Assumptions'!D7=INT('Assumptions'!D7),'Assumptions'!D7&gt;=2000,'Assumptions'!D7&lt;=2100),DATE('Assumptions'!D7,12,1),"n.a."),"n.a.")</x:f>
        <x:v>46722</x:v>
      </x:c>
    </x:row>
    <x:row r="10" ht="21" customHeight="1">
      <x:c r="A10" s="2"/>
      <x:c r="B10" s="2"/>
      <x:c r="C10" s="2" t="str">
        <x:v>At-need services</x:v>
      </x:c>
      <x:c r="D10" s="2" t="str">
        <x:v>services</x:v>
      </x:c>
      <x:c r="E10" s="49" t="n">
        <x:f>IF(COUNT(G10:R10)=12,SUM(G10:R10),"n.a.")</x:f>
        <x:v>264</x:v>
      </x:c>
      <x:c r="F10" s="2"/>
      <x:c r="G10" s="48" t="n">
        <x:f>IF(AND('Services and Restricted Cash'!N10="OK"),IF(AND(ISNUMBER('Services and Restricted Cash'!$D$10),ISNUMBER('Assumptions'!$D$61)),'Services and Restricted Cash'!$D$10*'Assumptions'!$D$61,"n.a."),"n.a.")</x:f>
        <x:v>22</x:v>
      </x:c>
      <x:c r="H10" s="48" t="n">
        <x:f>IF(AND('Services and Restricted Cash'!N11="OK"),IF(AND(ISNUMBER('Services and Restricted Cash'!$D$11),ISNUMBER('Assumptions'!$D$61)),'Services and Restricted Cash'!$D$11*'Assumptions'!$D$61,"n.a."),"n.a.")</x:f>
        <x:v>22</x:v>
      </x:c>
      <x:c r="I10" s="48" t="n">
        <x:f>IF(AND('Services and Restricted Cash'!N12="OK"),IF(AND(ISNUMBER('Services and Restricted Cash'!$D$12),ISNUMBER('Assumptions'!$D$61)),'Services and Restricted Cash'!$D$12*'Assumptions'!$D$61,"n.a."),"n.a.")</x:f>
        <x:v>22</x:v>
      </x:c>
      <x:c r="J10" s="48" t="n">
        <x:f>IF(AND('Services and Restricted Cash'!N13="OK"),IF(AND(ISNUMBER('Services and Restricted Cash'!$D$13),ISNUMBER('Assumptions'!$D$61)),'Services and Restricted Cash'!$D$13*'Assumptions'!$D$61,"n.a."),"n.a.")</x:f>
        <x:v>22</x:v>
      </x:c>
      <x:c r="K10" s="48" t="n">
        <x:f>IF(AND('Services and Restricted Cash'!N14="OK"),IF(AND(ISNUMBER('Services and Restricted Cash'!$D$14),ISNUMBER('Assumptions'!$D$61)),'Services and Restricted Cash'!$D$14*'Assumptions'!$D$61,"n.a."),"n.a.")</x:f>
        <x:v>22</x:v>
      </x:c>
      <x:c r="L10" s="48" t="n">
        <x:f>IF(AND('Services and Restricted Cash'!N15="OK"),IF(AND(ISNUMBER('Services and Restricted Cash'!$D$15),ISNUMBER('Assumptions'!$D$61)),'Services and Restricted Cash'!$D$15*'Assumptions'!$D$61,"n.a."),"n.a.")</x:f>
        <x:v>22</x:v>
      </x:c>
      <x:c r="M10" s="48" t="n">
        <x:f>IF(AND('Services and Restricted Cash'!N16="OK"),IF(AND(ISNUMBER('Services and Restricted Cash'!$D$16),ISNUMBER('Assumptions'!$D$61)),'Services and Restricted Cash'!$D$16*'Assumptions'!$D$61,"n.a."),"n.a.")</x:f>
        <x:v>22</x:v>
      </x:c>
      <x:c r="N10" s="48" t="n">
        <x:f>IF(AND('Services and Restricted Cash'!N17="OK"),IF(AND(ISNUMBER('Services and Restricted Cash'!$D$17),ISNUMBER('Assumptions'!$D$61)),'Services and Restricted Cash'!$D$17*'Assumptions'!$D$61,"n.a."),"n.a.")</x:f>
        <x:v>22</x:v>
      </x:c>
      <x:c r="O10" s="48" t="n">
        <x:f>IF(AND('Services and Restricted Cash'!N18="OK"),IF(AND(ISNUMBER('Services and Restricted Cash'!$D$18),ISNUMBER('Assumptions'!$D$61)),'Services and Restricted Cash'!$D$18*'Assumptions'!$D$61,"n.a."),"n.a.")</x:f>
        <x:v>22</x:v>
      </x:c>
      <x:c r="P10" s="48" t="n">
        <x:f>IF(AND('Services and Restricted Cash'!N19="OK"),IF(AND(ISNUMBER('Services and Restricted Cash'!$D$19),ISNUMBER('Assumptions'!$D$61)),'Services and Restricted Cash'!$D$19*'Assumptions'!$D$61,"n.a."),"n.a.")</x:f>
        <x:v>22</x:v>
      </x:c>
      <x:c r="Q10" s="48" t="n">
        <x:f>IF(AND('Services and Restricted Cash'!N20="OK"),IF(AND(ISNUMBER('Services and Restricted Cash'!$D$20),ISNUMBER('Assumptions'!$D$61)),'Services and Restricted Cash'!$D$20*'Assumptions'!$D$61,"n.a."),"n.a.")</x:f>
        <x:v>22</x:v>
      </x:c>
      <x:c r="R10" s="48" t="n">
        <x:f>IF(AND('Services and Restricted Cash'!N21="OK"),IF(AND(ISNUMBER('Services and Restricted Cash'!$D$21),ISNUMBER('Assumptions'!$D$61)),'Services and Restricted Cash'!$D$21*'Assumptions'!$D$61,"n.a."),"n.a.")</x:f>
        <x:v>22</x:v>
      </x:c>
    </x:row>
    <x:row r="11" ht="21" customHeight="1">
      <x:c r="A11" s="2"/>
      <x:c r="B11" s="2"/>
      <x:c r="C11" s="2" t="str">
        <x:v>Fulfilled preneed services</x:v>
      </x:c>
      <x:c r="D11" s="2" t="str">
        <x:v>services</x:v>
      </x:c>
      <x:c r="E11" s="49" t="n">
        <x:f>IF(COUNT(G11:R11)=12,SUM(G11:R11),"n.a.")</x:f>
        <x:v>96</x:v>
      </x:c>
      <x:c r="F11" s="2"/>
      <x:c r="G11" s="48" t="n">
        <x:f>IF(AND('Services and Restricted Cash'!N10="OK"),IF(AND(ISNUMBER('Services and Restricted Cash'!$F$10),ISNUMBER('Assumptions'!$D$61)),'Services and Restricted Cash'!$F$10*'Assumptions'!$D$61,"n.a."),"n.a.")</x:f>
        <x:v>8</x:v>
      </x:c>
      <x:c r="H11" s="48" t="n">
        <x:f>IF(AND('Services and Restricted Cash'!N11="OK"),IF(AND(ISNUMBER('Services and Restricted Cash'!$F$11),ISNUMBER('Assumptions'!$D$61)),'Services and Restricted Cash'!$F$11*'Assumptions'!$D$61,"n.a."),"n.a.")</x:f>
        <x:v>8</x:v>
      </x:c>
      <x:c r="I11" s="48" t="n">
        <x:f>IF(AND('Services and Restricted Cash'!N12="OK"),IF(AND(ISNUMBER('Services and Restricted Cash'!$F$12),ISNUMBER('Assumptions'!$D$61)),'Services and Restricted Cash'!$F$12*'Assumptions'!$D$61,"n.a."),"n.a.")</x:f>
        <x:v>8</x:v>
      </x:c>
      <x:c r="J11" s="48" t="n">
        <x:f>IF(AND('Services and Restricted Cash'!N13="OK"),IF(AND(ISNUMBER('Services and Restricted Cash'!$F$13),ISNUMBER('Assumptions'!$D$61)),'Services and Restricted Cash'!$F$13*'Assumptions'!$D$61,"n.a."),"n.a.")</x:f>
        <x:v>8</x:v>
      </x:c>
      <x:c r="K11" s="48" t="n">
        <x:f>IF(AND('Services and Restricted Cash'!N14="OK"),IF(AND(ISNUMBER('Services and Restricted Cash'!$F$14),ISNUMBER('Assumptions'!$D$61)),'Services and Restricted Cash'!$F$14*'Assumptions'!$D$61,"n.a."),"n.a.")</x:f>
        <x:v>8</x:v>
      </x:c>
      <x:c r="L11" s="48" t="n">
        <x:f>IF(AND('Services and Restricted Cash'!N15="OK"),IF(AND(ISNUMBER('Services and Restricted Cash'!$F$15),ISNUMBER('Assumptions'!$D$61)),'Services and Restricted Cash'!$F$15*'Assumptions'!$D$61,"n.a."),"n.a.")</x:f>
        <x:v>8</x:v>
      </x:c>
      <x:c r="M11" s="48" t="n">
        <x:f>IF(AND('Services and Restricted Cash'!N16="OK"),IF(AND(ISNUMBER('Services and Restricted Cash'!$F$16),ISNUMBER('Assumptions'!$D$61)),'Services and Restricted Cash'!$F$16*'Assumptions'!$D$61,"n.a."),"n.a.")</x:f>
        <x:v>8</x:v>
      </x:c>
      <x:c r="N11" s="48" t="n">
        <x:f>IF(AND('Services and Restricted Cash'!N17="OK"),IF(AND(ISNUMBER('Services and Restricted Cash'!$F$17),ISNUMBER('Assumptions'!$D$61)),'Services and Restricted Cash'!$F$17*'Assumptions'!$D$61,"n.a."),"n.a.")</x:f>
        <x:v>8</x:v>
      </x:c>
      <x:c r="O11" s="48" t="n">
        <x:f>IF(AND('Services and Restricted Cash'!N18="OK"),IF(AND(ISNUMBER('Services and Restricted Cash'!$F$18),ISNUMBER('Assumptions'!$D$61)),'Services and Restricted Cash'!$F$18*'Assumptions'!$D$61,"n.a."),"n.a.")</x:f>
        <x:v>8</x:v>
      </x:c>
      <x:c r="P11" s="48" t="n">
        <x:f>IF(AND('Services and Restricted Cash'!N19="OK"),IF(AND(ISNUMBER('Services and Restricted Cash'!$F$19),ISNUMBER('Assumptions'!$D$61)),'Services and Restricted Cash'!$F$19*'Assumptions'!$D$61,"n.a."),"n.a.")</x:f>
        <x:v>8</x:v>
      </x:c>
      <x:c r="Q11" s="48" t="n">
        <x:f>IF(AND('Services and Restricted Cash'!N20="OK"),IF(AND(ISNUMBER('Services and Restricted Cash'!$F$20),ISNUMBER('Assumptions'!$D$61)),'Services and Restricted Cash'!$F$20*'Assumptions'!$D$61,"n.a."),"n.a.")</x:f>
        <x:v>8</x:v>
      </x:c>
      <x:c r="R11" s="48" t="n">
        <x:f>IF(AND('Services and Restricted Cash'!N21="OK"),IF(AND(ISNUMBER('Services and Restricted Cash'!$F$21),ISNUMBER('Assumptions'!$D$61)),'Services and Restricted Cash'!$F$21*'Assumptions'!$D$61,"n.a."),"n.a.")</x:f>
        <x:v>8</x:v>
      </x:c>
    </x:row>
    <x:row r="12" ht="21" customHeight="1">
      <x:c r="A12" s="2"/>
      <x:c r="B12" s="2"/>
      <x:c r="C12" s="2" t="str">
        <x:v>New restricted preneed deposits (excluded)</x:v>
      </x:c>
      <x:c r="D12" s="2" t="str">
        <x:v>USD</x:v>
      </x:c>
      <x:c r="E12" s="52" t="n">
        <x:f>IF(COUNT(G12:R12)=12,SUM(G12:R12),"n.a.")</x:f>
        <x:v>936000</x:v>
      </x:c>
      <x:c r="F12" s="2"/>
      <x:c r="G12" s="51" t="n">
        <x:f>IF(AND('Services and Restricted Cash'!N10="OK"),IF(AND(ISNUMBER('Services and Restricted Cash'!$H$10),ISNUMBER('Assumptions'!$D$61),ISNUMBER('Services and Restricted Cash'!$I$10)),'Services and Restricted Cash'!$H$10*'Assumptions'!$D$61*'Services and Restricted Cash'!$I$10,"n.a."),"n.a.")</x:f>
        <x:v>78000</x:v>
      </x:c>
      <x:c r="H12" s="51" t="n">
        <x:f>IF(AND('Services and Restricted Cash'!N11="OK"),IF(AND(ISNUMBER('Services and Restricted Cash'!$H$11),ISNUMBER('Assumptions'!$D$61),ISNUMBER('Services and Restricted Cash'!$I$11)),'Services and Restricted Cash'!$H$11*'Assumptions'!$D$61*'Services and Restricted Cash'!$I$11,"n.a."),"n.a.")</x:f>
        <x:v>78000</x:v>
      </x:c>
      <x:c r="I12" s="51" t="n">
        <x:f>IF(AND('Services and Restricted Cash'!N12="OK"),IF(AND(ISNUMBER('Services and Restricted Cash'!$H$12),ISNUMBER('Assumptions'!$D$61),ISNUMBER('Services and Restricted Cash'!$I$12)),'Services and Restricted Cash'!$H$12*'Assumptions'!$D$61*'Services and Restricted Cash'!$I$12,"n.a."),"n.a.")</x:f>
        <x:v>78000</x:v>
      </x:c>
      <x:c r="J12" s="51" t="n">
        <x:f>IF(AND('Services and Restricted Cash'!N13="OK"),IF(AND(ISNUMBER('Services and Restricted Cash'!$H$13),ISNUMBER('Assumptions'!$D$61),ISNUMBER('Services and Restricted Cash'!$I$13)),'Services and Restricted Cash'!$H$13*'Assumptions'!$D$61*'Services and Restricted Cash'!$I$13,"n.a."),"n.a.")</x:f>
        <x:v>78000</x:v>
      </x:c>
      <x:c r="K12" s="51" t="n">
        <x:f>IF(AND('Services and Restricted Cash'!N14="OK"),IF(AND(ISNUMBER('Services and Restricted Cash'!$H$14),ISNUMBER('Assumptions'!$D$61),ISNUMBER('Services and Restricted Cash'!$I$14)),'Services and Restricted Cash'!$H$14*'Assumptions'!$D$61*'Services and Restricted Cash'!$I$14,"n.a."),"n.a.")</x:f>
        <x:v>78000</x:v>
      </x:c>
      <x:c r="L12" s="51" t="n">
        <x:f>IF(AND('Services and Restricted Cash'!N15="OK"),IF(AND(ISNUMBER('Services and Restricted Cash'!$H$15),ISNUMBER('Assumptions'!$D$61),ISNUMBER('Services and Restricted Cash'!$I$15)),'Services and Restricted Cash'!$H$15*'Assumptions'!$D$61*'Services and Restricted Cash'!$I$15,"n.a."),"n.a.")</x:f>
        <x:v>78000</x:v>
      </x:c>
      <x:c r="M12" s="51" t="n">
        <x:f>IF(AND('Services and Restricted Cash'!N16="OK"),IF(AND(ISNUMBER('Services and Restricted Cash'!$H$16),ISNUMBER('Assumptions'!$D$61),ISNUMBER('Services and Restricted Cash'!$I$16)),'Services and Restricted Cash'!$H$16*'Assumptions'!$D$61*'Services and Restricted Cash'!$I$16,"n.a."),"n.a.")</x:f>
        <x:v>78000</x:v>
      </x:c>
      <x:c r="N12" s="51" t="n">
        <x:f>IF(AND('Services and Restricted Cash'!N17="OK"),IF(AND(ISNUMBER('Services and Restricted Cash'!$H$17),ISNUMBER('Assumptions'!$D$61),ISNUMBER('Services and Restricted Cash'!$I$17)),'Services and Restricted Cash'!$H$17*'Assumptions'!$D$61*'Services and Restricted Cash'!$I$17,"n.a."),"n.a.")</x:f>
        <x:v>78000</x:v>
      </x:c>
      <x:c r="O12" s="51" t="n">
        <x:f>IF(AND('Services and Restricted Cash'!N18="OK"),IF(AND(ISNUMBER('Services and Restricted Cash'!$H$18),ISNUMBER('Assumptions'!$D$61),ISNUMBER('Services and Restricted Cash'!$I$18)),'Services and Restricted Cash'!$H$18*'Assumptions'!$D$61*'Services and Restricted Cash'!$I$18,"n.a."),"n.a.")</x:f>
        <x:v>78000</x:v>
      </x:c>
      <x:c r="P12" s="51" t="n">
        <x:f>IF(AND('Services and Restricted Cash'!N19="OK"),IF(AND(ISNUMBER('Services and Restricted Cash'!$H$19),ISNUMBER('Assumptions'!$D$61),ISNUMBER('Services and Restricted Cash'!$I$19)),'Services and Restricted Cash'!$H$19*'Assumptions'!$D$61*'Services and Restricted Cash'!$I$19,"n.a."),"n.a.")</x:f>
        <x:v>78000</x:v>
      </x:c>
      <x:c r="Q12" s="51" t="n">
        <x:f>IF(AND('Services and Restricted Cash'!N20="OK"),IF(AND(ISNUMBER('Services and Restricted Cash'!$H$20),ISNUMBER('Assumptions'!$D$61),ISNUMBER('Services and Restricted Cash'!$I$20)),'Services and Restricted Cash'!$H$20*'Assumptions'!$D$61*'Services and Restricted Cash'!$I$20,"n.a."),"n.a.")</x:f>
        <x:v>78000</x:v>
      </x:c>
      <x:c r="R12" s="51" t="n">
        <x:f>IF(AND('Services and Restricted Cash'!N21="OK"),IF(AND(ISNUMBER('Services and Restricted Cash'!$H$21),ISNUMBER('Assumptions'!$D$61),ISNUMBER('Services and Restricted Cash'!$I$21)),'Services and Restricted Cash'!$H$21*'Assumptions'!$D$61*'Services and Restricted Cash'!$I$21,"n.a."),"n.a.")</x:f>
        <x:v>78000</x:v>
      </x:c>
    </x:row>
    <x:row r="13" ht="21" customHeight="1">
      <x:c r="A13" s="2"/>
      <x:c r="B13" s="2"/>
      <x:c r="C13" s="2" t="str">
        <x:v>Opening restricted funds</x:v>
      </x:c>
      <x:c r="D13" s="2" t="str">
        <x:v>USD avg</x:v>
      </x:c>
      <x:c r="E13" s="52" t="n">
        <x:f>IF(COUNT(G13:R13)=12,AVERAGE(G13:R13),"n.a.")</x:f>
        <x:v>1065000</x:v>
      </x:c>
      <x:c r="F13" s="2"/>
      <x:c r="G13" s="51" t="n">
        <x:f>IF(AND(ISNUMBER('Assumptions'!$D$88)),'Assumptions'!$D$88,"n.a.")</x:f>
        <x:v>900000</x:v>
      </x:c>
      <x:c r="H13" s="51" t="n">
        <x:f>IF(AND(ISNUMBER(G15)),G15,"n.a.")</x:f>
        <x:v>930000</x:v>
      </x:c>
      <x:c r="I13" s="51" t="n">
        <x:f>IF(AND(ISNUMBER(H15)),H15,"n.a.")</x:f>
        <x:v>960000</x:v>
      </x:c>
      <x:c r="J13" s="51" t="n">
        <x:f>IF(AND(ISNUMBER(I15)),I15,"n.a.")</x:f>
        <x:v>990000</x:v>
      </x:c>
      <x:c r="K13" s="51" t="n">
        <x:f>IF(AND(ISNUMBER(J15)),J15,"n.a.")</x:f>
        <x:v>1020000</x:v>
      </x:c>
      <x:c r="L13" s="51" t="n">
        <x:f>IF(AND(ISNUMBER(K15)),K15,"n.a.")</x:f>
        <x:v>1050000</x:v>
      </x:c>
      <x:c r="M13" s="51" t="n">
        <x:f>IF(AND(ISNUMBER(L15)),L15,"n.a.")</x:f>
        <x:v>1080000</x:v>
      </x:c>
      <x:c r="N13" s="51" t="n">
        <x:f>IF(AND(ISNUMBER(M15)),M15,"n.a.")</x:f>
        <x:v>1110000</x:v>
      </x:c>
      <x:c r="O13" s="51" t="n">
        <x:f>IF(AND(ISNUMBER(N15)),N15,"n.a.")</x:f>
        <x:v>1140000</x:v>
      </x:c>
      <x:c r="P13" s="51" t="n">
        <x:f>IF(AND(ISNUMBER(O15)),O15,"n.a.")</x:f>
        <x:v>1170000</x:v>
      </x:c>
      <x:c r="Q13" s="51" t="n">
        <x:f>IF(AND(ISNUMBER(P15)),P15,"n.a.")</x:f>
        <x:v>1200000</x:v>
      </x:c>
      <x:c r="R13" s="51" t="n">
        <x:f>IF(AND(ISNUMBER(Q15)),Q15,"n.a.")</x:f>
        <x:v>1230000</x:v>
      </x:c>
    </x:row>
    <x:row r="14" ht="21" customHeight="1">
      <x:c r="A14" s="2"/>
      <x:c r="B14" s="2"/>
      <x:c r="C14" s="2" t="str">
        <x:v>Verified releases capped by available funds</x:v>
      </x:c>
      <x:c r="D14" s="2" t="str">
        <x:v>USD</x:v>
      </x:c>
      <x:c r="E14" s="52" t="n">
        <x:f>IF(COUNT(G14:R14)=12,SUM(G14:R14),"n.a.")</x:f>
        <x:v>576000</x:v>
      </x:c>
      <x:c r="F14" s="2"/>
      <x:c r="G14" s="51" t="n">
        <x:f>IF(AND('Services and Restricted Cash'!N10="OK"),IF(AND(ISNUMBER(G13),ISNUMBER(G12),ISNUMBER(G11),ISNUMBER('Services and Restricted Cash'!$G$10)),MIN(G13+G12,G11*'Services and Restricted Cash'!$G$10),"n.a."),"n.a.")</x:f>
        <x:v>48000</x:v>
      </x:c>
      <x:c r="H14" s="51" t="n">
        <x:f>IF(AND('Services and Restricted Cash'!N11="OK"),IF(AND(ISNUMBER(H13),ISNUMBER(H12),ISNUMBER(H11),ISNUMBER('Services and Restricted Cash'!$G$11)),MIN(H13+H12,H11*'Services and Restricted Cash'!$G$11),"n.a."),"n.a.")</x:f>
        <x:v>48000</x:v>
      </x:c>
      <x:c r="I14" s="51" t="n">
        <x:f>IF(AND('Services and Restricted Cash'!N12="OK"),IF(AND(ISNUMBER(I13),ISNUMBER(I12),ISNUMBER(I11),ISNUMBER('Services and Restricted Cash'!$G$12)),MIN(I13+I12,I11*'Services and Restricted Cash'!$G$12),"n.a."),"n.a.")</x:f>
        <x:v>48000</x:v>
      </x:c>
      <x:c r="J14" s="51" t="n">
        <x:f>IF(AND('Services and Restricted Cash'!N13="OK"),IF(AND(ISNUMBER(J13),ISNUMBER(J12),ISNUMBER(J11),ISNUMBER('Services and Restricted Cash'!$G$13)),MIN(J13+J12,J11*'Services and Restricted Cash'!$G$13),"n.a."),"n.a.")</x:f>
        <x:v>48000</x:v>
      </x:c>
      <x:c r="K14" s="51" t="n">
        <x:f>IF(AND('Services and Restricted Cash'!N14="OK"),IF(AND(ISNUMBER(K13),ISNUMBER(K12),ISNUMBER(K11),ISNUMBER('Services and Restricted Cash'!$G$14)),MIN(K13+K12,K11*'Services and Restricted Cash'!$G$14),"n.a."),"n.a.")</x:f>
        <x:v>48000</x:v>
      </x:c>
      <x:c r="L14" s="51" t="n">
        <x:f>IF(AND('Services and Restricted Cash'!N15="OK"),IF(AND(ISNUMBER(L13),ISNUMBER(L12),ISNUMBER(L11),ISNUMBER('Services and Restricted Cash'!$G$15)),MIN(L13+L12,L11*'Services and Restricted Cash'!$G$15),"n.a."),"n.a.")</x:f>
        <x:v>48000</x:v>
      </x:c>
      <x:c r="M14" s="51" t="n">
        <x:f>IF(AND('Services and Restricted Cash'!N16="OK"),IF(AND(ISNUMBER(M13),ISNUMBER(M12),ISNUMBER(M11),ISNUMBER('Services and Restricted Cash'!$G$16)),MIN(M13+M12,M11*'Services and Restricted Cash'!$G$16),"n.a."),"n.a.")</x:f>
        <x:v>48000</x:v>
      </x:c>
      <x:c r="N14" s="51" t="n">
        <x:f>IF(AND('Services and Restricted Cash'!N17="OK"),IF(AND(ISNUMBER(N13),ISNUMBER(N12),ISNUMBER(N11),ISNUMBER('Services and Restricted Cash'!$G$17)),MIN(N13+N12,N11*'Services and Restricted Cash'!$G$17),"n.a."),"n.a.")</x:f>
        <x:v>48000</x:v>
      </x:c>
      <x:c r="O14" s="51" t="n">
        <x:f>IF(AND('Services and Restricted Cash'!N18="OK"),IF(AND(ISNUMBER(O13),ISNUMBER(O12),ISNUMBER(O11),ISNUMBER('Services and Restricted Cash'!$G$18)),MIN(O13+O12,O11*'Services and Restricted Cash'!$G$18),"n.a."),"n.a.")</x:f>
        <x:v>48000</x:v>
      </x:c>
      <x:c r="P14" s="51" t="n">
        <x:f>IF(AND('Services and Restricted Cash'!N19="OK"),IF(AND(ISNUMBER(P13),ISNUMBER(P12),ISNUMBER(P11),ISNUMBER('Services and Restricted Cash'!$G$19)),MIN(P13+P12,P11*'Services and Restricted Cash'!$G$19),"n.a."),"n.a.")</x:f>
        <x:v>48000</x:v>
      </x:c>
      <x:c r="Q14" s="51" t="n">
        <x:f>IF(AND('Services and Restricted Cash'!N20="OK"),IF(AND(ISNUMBER(Q13),ISNUMBER(Q12),ISNUMBER(Q11),ISNUMBER('Services and Restricted Cash'!$G$20)),MIN(Q13+Q12,Q11*'Services and Restricted Cash'!$G$20),"n.a."),"n.a.")</x:f>
        <x:v>48000</x:v>
      </x:c>
      <x:c r="R14" s="51" t="n">
        <x:f>IF(AND('Services and Restricted Cash'!N21="OK"),IF(AND(ISNUMBER(R13),ISNUMBER(R12),ISNUMBER(R11),ISNUMBER('Services and Restricted Cash'!$G$21)),MIN(R13+R12,R11*'Services and Restricted Cash'!$G$21),"n.a."),"n.a.")</x:f>
        <x:v>48000</x:v>
      </x:c>
    </x:row>
    <x:row r="15" ht="21" customHeight="1">
      <x:c r="A15" s="2"/>
      <x:c r="B15" s="2"/>
      <x:c r="C15" s="2" t="str">
        <x:v>Ending restricted funds (unavailable)</x:v>
      </x:c>
      <x:c r="D15" s="2" t="str">
        <x:v>USD end</x:v>
      </x:c>
      <x:c r="E15" s="52" t="n">
        <x:f>IF(ISNUMBER(R15),R15,"n.a.")</x:f>
        <x:v>1260000</x:v>
      </x:c>
      <x:c r="F15" s="2"/>
      <x:c r="G15" s="52" t="n">
        <x:f>IF(AND(ISNUMBER(G13),ISNUMBER(G12),ISNUMBER(G14)),G13+G12-G14,"n.a.")</x:f>
        <x:v>930000</x:v>
      </x:c>
      <x:c r="H15" s="52" t="n">
        <x:f>IF(AND(ISNUMBER(H13),ISNUMBER(H12),ISNUMBER(H14)),H13+H12-H14,"n.a.")</x:f>
        <x:v>960000</x:v>
      </x:c>
      <x:c r="I15" s="52" t="n">
        <x:f>IF(AND(ISNUMBER(I13),ISNUMBER(I12),ISNUMBER(I14)),I13+I12-I14,"n.a.")</x:f>
        <x:v>990000</x:v>
      </x:c>
      <x:c r="J15" s="52" t="n">
        <x:f>IF(AND(ISNUMBER(J13),ISNUMBER(J12),ISNUMBER(J14)),J13+J12-J14,"n.a.")</x:f>
        <x:v>1020000</x:v>
      </x:c>
      <x:c r="K15" s="52" t="n">
        <x:f>IF(AND(ISNUMBER(K13),ISNUMBER(K12),ISNUMBER(K14)),K13+K12-K14,"n.a.")</x:f>
        <x:v>1050000</x:v>
      </x:c>
      <x:c r="L15" s="52" t="n">
        <x:f>IF(AND(ISNUMBER(L13),ISNUMBER(L12),ISNUMBER(L14)),L13+L12-L14,"n.a.")</x:f>
        <x:v>1080000</x:v>
      </x:c>
      <x:c r="M15" s="52" t="n">
        <x:f>IF(AND(ISNUMBER(M13),ISNUMBER(M12),ISNUMBER(M14)),M13+M12-M14,"n.a.")</x:f>
        <x:v>1110000</x:v>
      </x:c>
      <x:c r="N15" s="52" t="n">
        <x:f>IF(AND(ISNUMBER(N13),ISNUMBER(N12),ISNUMBER(N14)),N13+N12-N14,"n.a.")</x:f>
        <x:v>1140000</x:v>
      </x:c>
      <x:c r="O15" s="52" t="n">
        <x:f>IF(AND(ISNUMBER(O13),ISNUMBER(O12),ISNUMBER(O14)),O13+O12-O14,"n.a.")</x:f>
        <x:v>1170000</x:v>
      </x:c>
      <x:c r="P15" s="52" t="n">
        <x:f>IF(AND(ISNUMBER(P13),ISNUMBER(P12),ISNUMBER(P14)),P13+P12-P14,"n.a.")</x:f>
        <x:v>1200000</x:v>
      </x:c>
      <x:c r="Q15" s="52" t="n">
        <x:f>IF(AND(ISNUMBER(Q13),ISNUMBER(Q12),ISNUMBER(Q14)),Q13+Q12-Q14,"n.a.")</x:f>
        <x:v>1230000</x:v>
      </x:c>
      <x:c r="R15" s="52" t="n">
        <x:f>IF(AND(ISNUMBER(R13),ISNUMBER(R12),ISNUMBER(R14)),R13+R12-R14,"n.a.")</x:f>
        <x:v>1260000</x:v>
      </x:c>
    </x:row>
    <x:row r="16" ht="21" customHeight="1">
      <x:c r="A16" s="2"/>
      <x:c r="B16" s="2"/>
      <x:c r="C16" s="2" t="str">
        <x:v>At-need collections and verified releases</x:v>
      </x:c>
      <x:c r="D16" s="2" t="str">
        <x:v>USD</x:v>
      </x:c>
      <x:c r="E16" s="52" t="n">
        <x:f>IF(COUNT(G16:R16)=12,SUM(G16:R16),"n.a.")</x:f>
        <x:v>2424000</x:v>
      </x:c>
      <x:c r="F16" s="2"/>
      <x:c r="G16" s="51" t="n">
        <x:f>IF(AND('Services and Restricted Cash'!N10="OK"),IF(AND(ISNUMBER(G10),ISNUMBER('Services and Restricted Cash'!$E$10),ISNUMBER('Assumptions'!$D$64),ISNUMBER(G14)),G10*'Services and Restricted Cash'!$E$10*'Assumptions'!$D$64+G14,"n.a."),"n.a.")</x:f>
        <x:v>202000</x:v>
      </x:c>
      <x:c r="H16" s="51" t="n">
        <x:f>IF(AND('Services and Restricted Cash'!N11="OK"),IF(AND(ISNUMBER(H10),ISNUMBER('Services and Restricted Cash'!$E$11),ISNUMBER('Assumptions'!$D$64),ISNUMBER(H14)),H10*'Services and Restricted Cash'!$E$11*'Assumptions'!$D$64+H14,"n.a."),"n.a.")</x:f>
        <x:v>202000</x:v>
      </x:c>
      <x:c r="I16" s="51" t="n">
        <x:f>IF(AND('Services and Restricted Cash'!N12="OK"),IF(AND(ISNUMBER(I10),ISNUMBER('Services and Restricted Cash'!$E$12),ISNUMBER('Assumptions'!$D$64),ISNUMBER(I14)),I10*'Services and Restricted Cash'!$E$12*'Assumptions'!$D$64+I14,"n.a."),"n.a.")</x:f>
        <x:v>202000</x:v>
      </x:c>
      <x:c r="J16" s="51" t="n">
        <x:f>IF(AND('Services and Restricted Cash'!N13="OK"),IF(AND(ISNUMBER(J10),ISNUMBER('Services and Restricted Cash'!$E$13),ISNUMBER('Assumptions'!$D$64),ISNUMBER(J14)),J10*'Services and Restricted Cash'!$E$13*'Assumptions'!$D$64+J14,"n.a."),"n.a.")</x:f>
        <x:v>202000</x:v>
      </x:c>
      <x:c r="K16" s="51" t="n">
        <x:f>IF(AND('Services and Restricted Cash'!N14="OK"),IF(AND(ISNUMBER(K10),ISNUMBER('Services and Restricted Cash'!$E$14),ISNUMBER('Assumptions'!$D$64),ISNUMBER(K14)),K10*'Services and Restricted Cash'!$E$14*'Assumptions'!$D$64+K14,"n.a."),"n.a.")</x:f>
        <x:v>202000</x:v>
      </x:c>
      <x:c r="L16" s="51" t="n">
        <x:f>IF(AND('Services and Restricted Cash'!N15="OK"),IF(AND(ISNUMBER(L10),ISNUMBER('Services and Restricted Cash'!$E$15),ISNUMBER('Assumptions'!$D$64),ISNUMBER(L14)),L10*'Services and Restricted Cash'!$E$15*'Assumptions'!$D$64+L14,"n.a."),"n.a.")</x:f>
        <x:v>202000</x:v>
      </x:c>
      <x:c r="M16" s="51" t="n">
        <x:f>IF(AND('Services and Restricted Cash'!N16="OK"),IF(AND(ISNUMBER(M10),ISNUMBER('Services and Restricted Cash'!$E$16),ISNUMBER('Assumptions'!$D$64),ISNUMBER(M14)),M10*'Services and Restricted Cash'!$E$16*'Assumptions'!$D$64+M14,"n.a."),"n.a.")</x:f>
        <x:v>202000</x:v>
      </x:c>
      <x:c r="N16" s="51" t="n">
        <x:f>IF(AND('Services and Restricted Cash'!N17="OK"),IF(AND(ISNUMBER(N10),ISNUMBER('Services and Restricted Cash'!$E$17),ISNUMBER('Assumptions'!$D$64),ISNUMBER(N14)),N10*'Services and Restricted Cash'!$E$17*'Assumptions'!$D$64+N14,"n.a."),"n.a.")</x:f>
        <x:v>202000</x:v>
      </x:c>
      <x:c r="O16" s="51" t="n">
        <x:f>IF(AND('Services and Restricted Cash'!N18="OK"),IF(AND(ISNUMBER(O10),ISNUMBER('Services and Restricted Cash'!$E$18),ISNUMBER('Assumptions'!$D$64),ISNUMBER(O14)),O10*'Services and Restricted Cash'!$E$18*'Assumptions'!$D$64+O14,"n.a."),"n.a.")</x:f>
        <x:v>202000</x:v>
      </x:c>
      <x:c r="P16" s="51" t="n">
        <x:f>IF(AND('Services and Restricted Cash'!N19="OK"),IF(AND(ISNUMBER(P10),ISNUMBER('Services and Restricted Cash'!$E$19),ISNUMBER('Assumptions'!$D$64),ISNUMBER(P14)),P10*'Services and Restricted Cash'!$E$19*'Assumptions'!$D$64+P14,"n.a."),"n.a.")</x:f>
        <x:v>202000</x:v>
      </x:c>
      <x:c r="Q16" s="51" t="n">
        <x:f>IF(AND('Services and Restricted Cash'!N20="OK"),IF(AND(ISNUMBER(Q10),ISNUMBER('Services and Restricted Cash'!$E$20),ISNUMBER('Assumptions'!$D$64),ISNUMBER(Q14)),Q10*'Services and Restricted Cash'!$E$20*'Assumptions'!$D$64+Q14,"n.a."),"n.a.")</x:f>
        <x:v>202000</x:v>
      </x:c>
      <x:c r="R16" s="51" t="n">
        <x:f>IF(AND('Services and Restricted Cash'!N21="OK"),IF(AND(ISNUMBER(R10),ISNUMBER('Services and Restricted Cash'!$E$21),ISNUMBER('Assumptions'!$D$64),ISNUMBER(R14)),R10*'Services and Restricted Cash'!$E$21*'Assumptions'!$D$64+R14,"n.a."),"n.a.")</x:f>
        <x:v>202000</x:v>
      </x:c>
    </x:row>
    <x:row r="17" ht="21" customHeight="1">
      <x:c r="A17" s="2"/>
      <x:c r="B17" s="2"/>
      <x:c r="C17" s="2" t="str">
        <x:v>Fulfilled-service costs and payroll</x:v>
      </x:c>
      <x:c r="D17" s="2" t="str">
        <x:v>USD</x:v>
      </x:c>
      <x:c r="E17" s="52" t="n">
        <x:f>IF(COUNT(G17:R17)=12,SUM(G17:R17),"n.a.")</x:f>
        <x:v>1812000</x:v>
      </x:c>
      <x:c r="F17" s="2"/>
      <x:c r="G17" s="51" t="n">
        <x:f>IF(AND('Services and Restricted Cash'!N10="OK"),IF(AND(ISNUMBER(G10),ISNUMBER(G11),ISNUMBER('Services and Restricted Cash'!$J$10),ISNUMBER('Services and Restricted Cash'!$K$10),ISNUMBER('Services and Restricted Cash'!$L$10),ISNUMBER('Assumptions'!$D$67)),((G10+G11)*'Services and Restricted Cash'!$J$10+'Services and Restricted Cash'!$K$10+'Services and Restricted Cash'!$L$10)*'Assumptions'!$D$67,"n.a."),"n.a.")</x:f>
        <x:v>151000</x:v>
      </x:c>
      <x:c r="H17" s="51" t="n">
        <x:f>IF(AND('Services and Restricted Cash'!N11="OK"),IF(AND(ISNUMBER(H10),ISNUMBER(H11),ISNUMBER('Services and Restricted Cash'!$J$11),ISNUMBER('Services and Restricted Cash'!$K$11),ISNUMBER('Services and Restricted Cash'!$L$11),ISNUMBER('Assumptions'!$D$67)),((H10+H11)*'Services and Restricted Cash'!$J$11+'Services and Restricted Cash'!$K$11+'Services and Restricted Cash'!$L$11)*'Assumptions'!$D$67,"n.a."),"n.a.")</x:f>
        <x:v>151000</x:v>
      </x:c>
      <x:c r="I17" s="51" t="n">
        <x:f>IF(AND('Services and Restricted Cash'!N12="OK"),IF(AND(ISNUMBER(I10),ISNUMBER(I11),ISNUMBER('Services and Restricted Cash'!$J$12),ISNUMBER('Services and Restricted Cash'!$K$12),ISNUMBER('Services and Restricted Cash'!$L$12),ISNUMBER('Assumptions'!$D$67)),((I10+I11)*'Services and Restricted Cash'!$J$12+'Services and Restricted Cash'!$K$12+'Services and Restricted Cash'!$L$12)*'Assumptions'!$D$67,"n.a."),"n.a.")</x:f>
        <x:v>151000</x:v>
      </x:c>
      <x:c r="J17" s="51" t="n">
        <x:f>IF(AND('Services and Restricted Cash'!N13="OK"),IF(AND(ISNUMBER(J10),ISNUMBER(J11),ISNUMBER('Services and Restricted Cash'!$J$13),ISNUMBER('Services and Restricted Cash'!$K$13),ISNUMBER('Services and Restricted Cash'!$L$13),ISNUMBER('Assumptions'!$D$67)),((J10+J11)*'Services and Restricted Cash'!$J$13+'Services and Restricted Cash'!$K$13+'Services and Restricted Cash'!$L$13)*'Assumptions'!$D$67,"n.a."),"n.a.")</x:f>
        <x:v>151000</x:v>
      </x:c>
      <x:c r="K17" s="51" t="n">
        <x:f>IF(AND('Services and Restricted Cash'!N14="OK"),IF(AND(ISNUMBER(K10),ISNUMBER(K11),ISNUMBER('Services and Restricted Cash'!$J$14),ISNUMBER('Services and Restricted Cash'!$K$14),ISNUMBER('Services and Restricted Cash'!$L$14),ISNUMBER('Assumptions'!$D$67)),((K10+K11)*'Services and Restricted Cash'!$J$14+'Services and Restricted Cash'!$K$14+'Services and Restricted Cash'!$L$14)*'Assumptions'!$D$67,"n.a."),"n.a.")</x:f>
        <x:v>151000</x:v>
      </x:c>
      <x:c r="L17" s="51" t="n">
        <x:f>IF(AND('Services and Restricted Cash'!N15="OK"),IF(AND(ISNUMBER(L10),ISNUMBER(L11),ISNUMBER('Services and Restricted Cash'!$J$15),ISNUMBER('Services and Restricted Cash'!$K$15),ISNUMBER('Services and Restricted Cash'!$L$15),ISNUMBER('Assumptions'!$D$67)),((L10+L11)*'Services and Restricted Cash'!$J$15+'Services and Restricted Cash'!$K$15+'Services and Restricted Cash'!$L$15)*'Assumptions'!$D$67,"n.a."),"n.a.")</x:f>
        <x:v>151000</x:v>
      </x:c>
      <x:c r="M17" s="51" t="n">
        <x:f>IF(AND('Services and Restricted Cash'!N16="OK"),IF(AND(ISNUMBER(M10),ISNUMBER(M11),ISNUMBER('Services and Restricted Cash'!$J$16),ISNUMBER('Services and Restricted Cash'!$K$16),ISNUMBER('Services and Restricted Cash'!$L$16),ISNUMBER('Assumptions'!$D$67)),((M10+M11)*'Services and Restricted Cash'!$J$16+'Services and Restricted Cash'!$K$16+'Services and Restricted Cash'!$L$16)*'Assumptions'!$D$67,"n.a."),"n.a.")</x:f>
        <x:v>151000</x:v>
      </x:c>
      <x:c r="N17" s="51" t="n">
        <x:f>IF(AND('Services and Restricted Cash'!N17="OK"),IF(AND(ISNUMBER(N10),ISNUMBER(N11),ISNUMBER('Services and Restricted Cash'!$J$17),ISNUMBER('Services and Restricted Cash'!$K$17),ISNUMBER('Services and Restricted Cash'!$L$17),ISNUMBER('Assumptions'!$D$67)),((N10+N11)*'Services and Restricted Cash'!$J$17+'Services and Restricted Cash'!$K$17+'Services and Restricted Cash'!$L$17)*'Assumptions'!$D$67,"n.a."),"n.a.")</x:f>
        <x:v>151000</x:v>
      </x:c>
      <x:c r="O17" s="51" t="n">
        <x:f>IF(AND('Services and Restricted Cash'!N18="OK"),IF(AND(ISNUMBER(O10),ISNUMBER(O11),ISNUMBER('Services and Restricted Cash'!$J$18),ISNUMBER('Services and Restricted Cash'!$K$18),ISNUMBER('Services and Restricted Cash'!$L$18),ISNUMBER('Assumptions'!$D$67)),((O10+O11)*'Services and Restricted Cash'!$J$18+'Services and Restricted Cash'!$K$18+'Services and Restricted Cash'!$L$18)*'Assumptions'!$D$67,"n.a."),"n.a.")</x:f>
        <x:v>151000</x:v>
      </x:c>
      <x:c r="P17" s="51" t="n">
        <x:f>IF(AND('Services and Restricted Cash'!N19="OK"),IF(AND(ISNUMBER(P10),ISNUMBER(P11),ISNUMBER('Services and Restricted Cash'!$J$19),ISNUMBER('Services and Restricted Cash'!$K$19),ISNUMBER('Services and Restricted Cash'!$L$19),ISNUMBER('Assumptions'!$D$67)),((P10+P11)*'Services and Restricted Cash'!$J$19+'Services and Restricted Cash'!$K$19+'Services and Restricted Cash'!$L$19)*'Assumptions'!$D$67,"n.a."),"n.a.")</x:f>
        <x:v>151000</x:v>
      </x:c>
      <x:c r="Q17" s="51" t="n">
        <x:f>IF(AND('Services and Restricted Cash'!N20="OK"),IF(AND(ISNUMBER(Q10),ISNUMBER(Q11),ISNUMBER('Services and Restricted Cash'!$J$20),ISNUMBER('Services and Restricted Cash'!$K$20),ISNUMBER('Services and Restricted Cash'!$L$20),ISNUMBER('Assumptions'!$D$67)),((Q10+Q11)*'Services and Restricted Cash'!$J$20+'Services and Restricted Cash'!$K$20+'Services and Restricted Cash'!$L$20)*'Assumptions'!$D$67,"n.a."),"n.a.")</x:f>
        <x:v>151000</x:v>
      </x:c>
      <x:c r="R17" s="51" t="n">
        <x:f>IF(AND('Services and Restricted Cash'!N21="OK"),IF(AND(ISNUMBER(R10),ISNUMBER(R11),ISNUMBER('Services and Restricted Cash'!$J$21),ISNUMBER('Services and Restricted Cash'!$K$21),ISNUMBER('Services and Restricted Cash'!$L$21),ISNUMBER('Assumptions'!$D$67)),((R10+R11)*'Services and Restricted Cash'!$J$21+'Services and Restricted Cash'!$K$21+'Services and Restricted Cash'!$L$21)*'Assumptions'!$D$67,"n.a."),"n.a.")</x:f>
        <x:v>151000</x:v>
      </x:c>
    </x:row>
    <x:row r="18" ht="21" customHeight="1">
      <x:c r="A18" s="2"/>
      <x:c r="B18" s="2"/>
      <x:c r="C18" s="2" t="str">
        <x:v>Related rent eliminated in combined cash</x:v>
      </x:c>
      <x:c r="D18" s="2" t="str">
        <x:v>USD</x:v>
      </x:c>
      <x:c r="E18" s="52" t="n">
        <x:f>IF(COUNT(G18:R18)=12,SUM(G18:R18),"n.a.")</x:f>
        <x:v>144000</x:v>
      </x:c>
      <x:c r="F18" s="2"/>
      <x:c r="G18" s="51" t="n">
        <x:f>IF(AND(ISNUMBER('Assumptions'!$D$73)),'Assumptions'!$D$73,"n.a.")</x:f>
        <x:v>12000</x:v>
      </x:c>
      <x:c r="H18" s="51" t="n">
        <x:f>IF(AND(ISNUMBER('Assumptions'!$D$73)),'Assumptions'!$D$73,"n.a.")</x:f>
        <x:v>12000</x:v>
      </x:c>
      <x:c r="I18" s="51" t="n">
        <x:f>IF(AND(ISNUMBER('Assumptions'!$D$73)),'Assumptions'!$D$73,"n.a.")</x:f>
        <x:v>12000</x:v>
      </x:c>
      <x:c r="J18" s="51" t="n">
        <x:f>IF(AND(ISNUMBER('Assumptions'!$D$73)),'Assumptions'!$D$73,"n.a.")</x:f>
        <x:v>12000</x:v>
      </x:c>
      <x:c r="K18" s="51" t="n">
        <x:f>IF(AND(ISNUMBER('Assumptions'!$D$73)),'Assumptions'!$D$73,"n.a.")</x:f>
        <x:v>12000</x:v>
      </x:c>
      <x:c r="L18" s="51" t="n">
        <x:f>IF(AND(ISNUMBER('Assumptions'!$D$73)),'Assumptions'!$D$73,"n.a.")</x:f>
        <x:v>12000</x:v>
      </x:c>
      <x:c r="M18" s="51" t="n">
        <x:f>IF(AND(ISNUMBER('Assumptions'!$D$73)),'Assumptions'!$D$73,"n.a.")</x:f>
        <x:v>12000</x:v>
      </x:c>
      <x:c r="N18" s="51" t="n">
        <x:f>IF(AND(ISNUMBER('Assumptions'!$D$73)),'Assumptions'!$D$73,"n.a.")</x:f>
        <x:v>12000</x:v>
      </x:c>
      <x:c r="O18" s="51" t="n">
        <x:f>IF(AND(ISNUMBER('Assumptions'!$D$73)),'Assumptions'!$D$73,"n.a.")</x:f>
        <x:v>12000</x:v>
      </x:c>
      <x:c r="P18" s="51" t="n">
        <x:f>IF(AND(ISNUMBER('Assumptions'!$D$73)),'Assumptions'!$D$73,"n.a.")</x:f>
        <x:v>12000</x:v>
      </x:c>
      <x:c r="Q18" s="51" t="n">
        <x:f>IF(AND(ISNUMBER('Assumptions'!$D$73)),'Assumptions'!$D$73,"n.a.")</x:f>
        <x:v>12000</x:v>
      </x:c>
      <x:c r="R18" s="51" t="n">
        <x:f>IF(AND(ISNUMBER('Assumptions'!$D$73)),'Assumptions'!$D$73,"n.a.")</x:f>
        <x:v>12000</x:v>
      </x:c>
    </x:row>
    <x:row r="19" ht="21" customHeight="1">
      <x:c r="A19" s="2"/>
      <x:c r="B19" s="2"/>
      <x:c r="C19" s="2" t="str">
        <x:v>Business receipts less related rent</x:v>
      </x:c>
      <x:c r="D19" s="2" t="str">
        <x:v>USD</x:v>
      </x:c>
      <x:c r="E19" s="52" t="n">
        <x:f>IF(COUNT(G19:R19)=12,SUM(G19:R19),"n.a.")</x:f>
        <x:v>2280000</x:v>
      </x:c>
      <x:c r="F19" s="2"/>
      <x:c r="G19" s="52" t="n">
        <x:f>IF(AND(ISNUMBER(G16),ISNUMBER(G18)),G16-G18,"n.a.")</x:f>
        <x:v>190000</x:v>
      </x:c>
      <x:c r="H19" s="52" t="n">
        <x:f>IF(AND(ISNUMBER(H16),ISNUMBER(H18)),H16-H18,"n.a.")</x:f>
        <x:v>190000</x:v>
      </x:c>
      <x:c r="I19" s="52" t="n">
        <x:f>IF(AND(ISNUMBER(I16),ISNUMBER(I18)),I16-I18,"n.a.")</x:f>
        <x:v>190000</x:v>
      </x:c>
      <x:c r="J19" s="52" t="n">
        <x:f>IF(AND(ISNUMBER(J16),ISNUMBER(J18)),J16-J18,"n.a.")</x:f>
        <x:v>190000</x:v>
      </x:c>
      <x:c r="K19" s="52" t="n">
        <x:f>IF(AND(ISNUMBER(K16),ISNUMBER(K18)),K16-K18,"n.a.")</x:f>
        <x:v>190000</x:v>
      </x:c>
      <x:c r="L19" s="52" t="n">
        <x:f>IF(AND(ISNUMBER(L16),ISNUMBER(L18)),L16-L18,"n.a.")</x:f>
        <x:v>190000</x:v>
      </x:c>
      <x:c r="M19" s="52" t="n">
        <x:f>IF(AND(ISNUMBER(M16),ISNUMBER(M18)),M16-M18,"n.a.")</x:f>
        <x:v>190000</x:v>
      </x:c>
      <x:c r="N19" s="52" t="n">
        <x:f>IF(AND(ISNUMBER(N16),ISNUMBER(N18)),N16-N18,"n.a.")</x:f>
        <x:v>190000</x:v>
      </x:c>
      <x:c r="O19" s="52" t="n">
        <x:f>IF(AND(ISNUMBER(O16),ISNUMBER(O18)),O16-O18,"n.a.")</x:f>
        <x:v>190000</x:v>
      </x:c>
      <x:c r="P19" s="52" t="n">
        <x:f>IF(AND(ISNUMBER(P16),ISNUMBER(P18)),P16-P18,"n.a.")</x:f>
        <x:v>190000</x:v>
      </x:c>
      <x:c r="Q19" s="52" t="n">
        <x:f>IF(AND(ISNUMBER(Q16),ISNUMBER(Q18)),Q16-Q18,"n.a.")</x:f>
        <x:v>190000</x:v>
      </x:c>
      <x:c r="R19" s="52" t="n">
        <x:f>IF(AND(ISNUMBER(R16),ISNUMBER(R18)),R16-R18,"n.a.")</x:f>
        <x:v>190000</x:v>
      </x:c>
    </x:row>
    <x:row r="20" ht="21" customHeight="1">
      <x:c r="A20" s="2"/>
      <x:c r="B20" s="2"/>
      <x:c r="C20" s="56" t="str">
        <x:v>Combined receipts before outside obligations</x:v>
      </x:c>
      <x:c r="D20" s="56" t="str">
        <x:v>USD</x:v>
      </x:c>
      <x:c r="E20" s="57" t="n">
        <x:f>IF(COUNT(G20:R20)=12,SUM(G20:R20),"n.a.")</x:f>
        <x:v>2424000</x:v>
      </x:c>
      <x:c r="F20" s="56"/>
      <x:c r="G20" s="57" t="n">
        <x:f>IF(AND(ISNUMBER(G19),ISNUMBER(G18)),G19+G18,"n.a.")</x:f>
        <x:v>202000</x:v>
      </x:c>
      <x:c r="H20" s="57" t="n">
        <x:f>IF(AND(ISNUMBER(H19),ISNUMBER(H18)),H19+H18,"n.a.")</x:f>
        <x:v>202000</x:v>
      </x:c>
      <x:c r="I20" s="57" t="n">
        <x:f>IF(AND(ISNUMBER(I19),ISNUMBER(I18)),I19+I18,"n.a.")</x:f>
        <x:v>202000</x:v>
      </x:c>
      <x:c r="J20" s="57" t="n">
        <x:f>IF(AND(ISNUMBER(J19),ISNUMBER(J18)),J19+J18,"n.a.")</x:f>
        <x:v>202000</x:v>
      </x:c>
      <x:c r="K20" s="57" t="n">
        <x:f>IF(AND(ISNUMBER(K19),ISNUMBER(K18)),K19+K18,"n.a.")</x:f>
        <x:v>202000</x:v>
      </x:c>
      <x:c r="L20" s="57" t="n">
        <x:f>IF(AND(ISNUMBER(L19),ISNUMBER(L18)),L19+L18,"n.a.")</x:f>
        <x:v>202000</x:v>
      </x:c>
      <x:c r="M20" s="57" t="n">
        <x:f>IF(AND(ISNUMBER(M19),ISNUMBER(M18)),M19+M18,"n.a.")</x:f>
        <x:v>202000</x:v>
      </x:c>
      <x:c r="N20" s="57" t="n">
        <x:f>IF(AND(ISNUMBER(N19),ISNUMBER(N18)),N19+N18,"n.a.")</x:f>
        <x:v>202000</x:v>
      </x:c>
      <x:c r="O20" s="57" t="n">
        <x:f>IF(AND(ISNUMBER(O19),ISNUMBER(O18)),O19+O18,"n.a.")</x:f>
        <x:v>202000</x:v>
      </x:c>
      <x:c r="P20" s="57" t="n">
        <x:f>IF(AND(ISNUMBER(P19),ISNUMBER(P18)),P19+P18,"n.a.")</x:f>
        <x:v>202000</x:v>
      </x:c>
      <x:c r="Q20" s="57" t="n">
        <x:f>IF(AND(ISNUMBER(Q19),ISNUMBER(Q18)),Q19+Q18,"n.a.")</x:f>
        <x:v>202000</x:v>
      </x:c>
      <x:c r="R20" s="57" t="n">
        <x:f>IF(AND(ISNUMBER(R19),ISNUMBER(R18)),R19+R18,"n.a.")</x:f>
        <x:v>202000</x:v>
      </x:c>
    </x:row>
    <x:row r="21" ht="21" customHeight="1">
      <x:c r="A21" s="2"/>
      <x:c r="B21" s="2"/>
      <x:c r="C21" s="2" t="str">
        <x:v>External property cash costs</x:v>
      </x:c>
      <x:c r="D21" s="2" t="str">
        <x:v>USD</x:v>
      </x:c>
      <x:c r="E21" s="52" t="n">
        <x:f>IF(COUNT(G21:R21)=12,SUM(G21:R21),"n.a.")</x:f>
        <x:v>72000</x:v>
      </x:c>
      <x:c r="F21" s="2"/>
      <x:c r="G21" s="51" t="n">
        <x:f>IF(AND(ISNUMBER('Assumptions'!$D$76),ISNUMBER('Assumptions'!$D$67)),'Assumptions'!$D$76*'Assumptions'!$D$67,"n.a.")</x:f>
        <x:v>6000</x:v>
      </x:c>
      <x:c r="H21" s="51" t="n">
        <x:f>IF(AND(ISNUMBER('Assumptions'!$D$76),ISNUMBER('Assumptions'!$D$67)),'Assumptions'!$D$76*'Assumptions'!$D$67,"n.a.")</x:f>
        <x:v>6000</x:v>
      </x:c>
      <x:c r="I21" s="51" t="n">
        <x:f>IF(AND(ISNUMBER('Assumptions'!$D$76),ISNUMBER('Assumptions'!$D$67)),'Assumptions'!$D$76*'Assumptions'!$D$67,"n.a.")</x:f>
        <x:v>6000</x:v>
      </x:c>
      <x:c r="J21" s="51" t="n">
        <x:f>IF(AND(ISNUMBER('Assumptions'!$D$76),ISNUMBER('Assumptions'!$D$67)),'Assumptions'!$D$76*'Assumptions'!$D$67,"n.a.")</x:f>
        <x:v>6000</x:v>
      </x:c>
      <x:c r="K21" s="51" t="n">
        <x:f>IF(AND(ISNUMBER('Assumptions'!$D$76),ISNUMBER('Assumptions'!$D$67)),'Assumptions'!$D$76*'Assumptions'!$D$67,"n.a.")</x:f>
        <x:v>6000</x:v>
      </x:c>
      <x:c r="L21" s="51" t="n">
        <x:f>IF(AND(ISNUMBER('Assumptions'!$D$76),ISNUMBER('Assumptions'!$D$67)),'Assumptions'!$D$76*'Assumptions'!$D$67,"n.a.")</x:f>
        <x:v>6000</x:v>
      </x:c>
      <x:c r="M21" s="51" t="n">
        <x:f>IF(AND(ISNUMBER('Assumptions'!$D$76),ISNUMBER('Assumptions'!$D$67)),'Assumptions'!$D$76*'Assumptions'!$D$67,"n.a.")</x:f>
        <x:v>6000</x:v>
      </x:c>
      <x:c r="N21" s="51" t="n">
        <x:f>IF(AND(ISNUMBER('Assumptions'!$D$76),ISNUMBER('Assumptions'!$D$67)),'Assumptions'!$D$76*'Assumptions'!$D$67,"n.a.")</x:f>
        <x:v>6000</x:v>
      </x:c>
      <x:c r="O21" s="51" t="n">
        <x:f>IF(AND(ISNUMBER('Assumptions'!$D$76),ISNUMBER('Assumptions'!$D$67)),'Assumptions'!$D$76*'Assumptions'!$D$67,"n.a.")</x:f>
        <x:v>6000</x:v>
      </x:c>
      <x:c r="P21" s="51" t="n">
        <x:f>IF(AND(ISNUMBER('Assumptions'!$D$76),ISNUMBER('Assumptions'!$D$67)),'Assumptions'!$D$76*'Assumptions'!$D$67,"n.a.")</x:f>
        <x:v>6000</x:v>
      </x:c>
      <x:c r="Q21" s="51" t="n">
        <x:f>IF(AND(ISNUMBER('Assumptions'!$D$76),ISNUMBER('Assumptions'!$D$67)),'Assumptions'!$D$76*'Assumptions'!$D$67,"n.a.")</x:f>
        <x:v>6000</x:v>
      </x:c>
      <x:c r="R21" s="51" t="n">
        <x:f>IF(AND(ISNUMBER('Assumptions'!$D$76),ISNUMBER('Assumptions'!$D$67)),'Assumptions'!$D$76*'Assumptions'!$D$67,"n.a.")</x:f>
        <x:v>6000</x:v>
      </x:c>
    </x:row>
    <x:row r="22" ht="21" customHeight="1">
      <x:c r="A22" s="2"/>
      <x:c r="B22" s="2"/>
      <x:c r="C22" s="2" t="str">
        <x:v>Other business debt service</x:v>
      </x:c>
      <x:c r="D22" s="2" t="str">
        <x:v>USD</x:v>
      </x:c>
      <x:c r="E22" s="52" t="n">
        <x:f>IF(COUNT(G22:R22)=12,SUM(G22:R22),"n.a.")</x:f>
        <x:v>72000</x:v>
      </x:c>
      <x:c r="F22" s="2"/>
      <x:c r="G22" s="51" t="n">
        <x:f>IF(AND(ISNUMBER('Assumptions'!$D$79)),'Assumptions'!$D$79,"n.a.")</x:f>
        <x:v>6000</x:v>
      </x:c>
      <x:c r="H22" s="51" t="n">
        <x:f>IF(AND(ISNUMBER('Assumptions'!$D$79)),'Assumptions'!$D$79,"n.a.")</x:f>
        <x:v>6000</x:v>
      </x:c>
      <x:c r="I22" s="51" t="n">
        <x:f>IF(AND(ISNUMBER('Assumptions'!$D$79)),'Assumptions'!$D$79,"n.a.")</x:f>
        <x:v>6000</x:v>
      </x:c>
      <x:c r="J22" s="51" t="n">
        <x:f>IF(AND(ISNUMBER('Assumptions'!$D$79)),'Assumptions'!$D$79,"n.a.")</x:f>
        <x:v>6000</x:v>
      </x:c>
      <x:c r="K22" s="51" t="n">
        <x:f>IF(AND(ISNUMBER('Assumptions'!$D$79)),'Assumptions'!$D$79,"n.a.")</x:f>
        <x:v>6000</x:v>
      </x:c>
      <x:c r="L22" s="51" t="n">
        <x:f>IF(AND(ISNUMBER('Assumptions'!$D$79)),'Assumptions'!$D$79,"n.a.")</x:f>
        <x:v>6000</x:v>
      </x:c>
      <x:c r="M22" s="51" t="n">
        <x:f>IF(AND(ISNUMBER('Assumptions'!$D$79)),'Assumptions'!$D$79,"n.a.")</x:f>
        <x:v>6000</x:v>
      </x:c>
      <x:c r="N22" s="51" t="n">
        <x:f>IF(AND(ISNUMBER('Assumptions'!$D$79)),'Assumptions'!$D$79,"n.a.")</x:f>
        <x:v>6000</x:v>
      </x:c>
      <x:c r="O22" s="51" t="n">
        <x:f>IF(AND(ISNUMBER('Assumptions'!$D$79)),'Assumptions'!$D$79,"n.a.")</x:f>
        <x:v>6000</x:v>
      </x:c>
      <x:c r="P22" s="51" t="n">
        <x:f>IF(AND(ISNUMBER('Assumptions'!$D$79)),'Assumptions'!$D$79,"n.a.")</x:f>
        <x:v>6000</x:v>
      </x:c>
      <x:c r="Q22" s="51" t="n">
        <x:f>IF(AND(ISNUMBER('Assumptions'!$D$79)),'Assumptions'!$D$79,"n.a.")</x:f>
        <x:v>6000</x:v>
      </x:c>
      <x:c r="R22" s="51" t="n">
        <x:f>IF(AND(ISNUMBER('Assumptions'!$D$79)),'Assumptions'!$D$79,"n.a.")</x:f>
        <x:v>6000</x:v>
      </x:c>
    </x:row>
    <x:row r="23" ht="21" customHeight="1">
      <x:c r="A23" s="2"/>
      <x:c r="B23" s="2"/>
      <x:c r="C23" s="2" t="str">
        <x:v>Cash taxes and distributions</x:v>
      </x:c>
      <x:c r="D23" s="2" t="str">
        <x:v>USD</x:v>
      </x:c>
      <x:c r="E23" s="52" t="n">
        <x:f>IF(COUNT(G23:R23)=12,SUM(G23:R23),"n.a.")</x:f>
        <x:v>36000</x:v>
      </x:c>
      <x:c r="F23" s="2"/>
      <x:c r="G23" s="51" t="n">
        <x:f>IF(AND(ISNUMBER('Assumptions'!$D$82)),'Assumptions'!$D$82,"n.a.")</x:f>
        <x:v>3000</x:v>
      </x:c>
      <x:c r="H23" s="51" t="n">
        <x:f>IF(AND(ISNUMBER('Assumptions'!$D$82)),'Assumptions'!$D$82,"n.a.")</x:f>
        <x:v>3000</x:v>
      </x:c>
      <x:c r="I23" s="51" t="n">
        <x:f>IF(AND(ISNUMBER('Assumptions'!$D$82)),'Assumptions'!$D$82,"n.a.")</x:f>
        <x:v>3000</x:v>
      </x:c>
      <x:c r="J23" s="51" t="n">
        <x:f>IF(AND(ISNUMBER('Assumptions'!$D$82)),'Assumptions'!$D$82,"n.a.")</x:f>
        <x:v>3000</x:v>
      </x:c>
      <x:c r="K23" s="51" t="n">
        <x:f>IF(AND(ISNUMBER('Assumptions'!$D$82)),'Assumptions'!$D$82,"n.a.")</x:f>
        <x:v>3000</x:v>
      </x:c>
      <x:c r="L23" s="51" t="n">
        <x:f>IF(AND(ISNUMBER('Assumptions'!$D$82)),'Assumptions'!$D$82,"n.a.")</x:f>
        <x:v>3000</x:v>
      </x:c>
      <x:c r="M23" s="51" t="n">
        <x:f>IF(AND(ISNUMBER('Assumptions'!$D$82)),'Assumptions'!$D$82,"n.a.")</x:f>
        <x:v>3000</x:v>
      </x:c>
      <x:c r="N23" s="51" t="n">
        <x:f>IF(AND(ISNUMBER('Assumptions'!$D$82)),'Assumptions'!$D$82,"n.a.")</x:f>
        <x:v>3000</x:v>
      </x:c>
      <x:c r="O23" s="51" t="n">
        <x:f>IF(AND(ISNUMBER('Assumptions'!$D$82)),'Assumptions'!$D$82,"n.a.")</x:f>
        <x:v>3000</x:v>
      </x:c>
      <x:c r="P23" s="51" t="n">
        <x:f>IF(AND(ISNUMBER('Assumptions'!$D$82)),'Assumptions'!$D$82,"n.a.")</x:f>
        <x:v>3000</x:v>
      </x:c>
      <x:c r="Q23" s="51" t="n">
        <x:f>IF(AND(ISNUMBER('Assumptions'!$D$82)),'Assumptions'!$D$82,"n.a.")</x:f>
        <x:v>3000</x:v>
      </x:c>
      <x:c r="R23" s="51" t="n">
        <x:f>IF(AND(ISNUMBER('Assumptions'!$D$82)),'Assumptions'!$D$82,"n.a.")</x:f>
        <x:v>3000</x:v>
      </x:c>
    </x:row>
    <x:row r="24" ht="21" customHeight="1">
      <x:c r="A24" s="2"/>
      <x:c r="B24" s="2"/>
      <x:c r="C24" s="2" t="str">
        <x:v>Maintenance capital deducted once</x:v>
      </x:c>
      <x:c r="D24" s="2" t="str">
        <x:v>USD</x:v>
      </x:c>
      <x:c r="E24" s="52" t="n">
        <x:f>IF(COUNT(G24:R24)=12,SUM(G24:R24),"n.a.")</x:f>
        <x:v>18000</x:v>
      </x:c>
      <x:c r="F24" s="2"/>
      <x:c r="G24" s="51" t="n">
        <x:f>IF(AND(ISNUMBER('Assumptions'!$D$85),ISNUMBER('Assumptions'!$D$70)),'Assumptions'!$D$85*'Assumptions'!$D$70,"n.a.")</x:f>
        <x:v>1500</x:v>
      </x:c>
      <x:c r="H24" s="51" t="n">
        <x:f>IF(AND(ISNUMBER('Assumptions'!$D$85),ISNUMBER('Assumptions'!$D$70)),'Assumptions'!$D$85*'Assumptions'!$D$70,"n.a.")</x:f>
        <x:v>1500</x:v>
      </x:c>
      <x:c r="I24" s="51" t="n">
        <x:f>IF(AND(ISNUMBER('Assumptions'!$D$85),ISNUMBER('Assumptions'!$D$70)),'Assumptions'!$D$85*'Assumptions'!$D$70,"n.a.")</x:f>
        <x:v>1500</x:v>
      </x:c>
      <x:c r="J24" s="51" t="n">
        <x:f>IF(AND(ISNUMBER('Assumptions'!$D$85),ISNUMBER('Assumptions'!$D$70)),'Assumptions'!$D$85*'Assumptions'!$D$70,"n.a.")</x:f>
        <x:v>1500</x:v>
      </x:c>
      <x:c r="K24" s="51" t="n">
        <x:f>IF(AND(ISNUMBER('Assumptions'!$D$85),ISNUMBER('Assumptions'!$D$70)),'Assumptions'!$D$85*'Assumptions'!$D$70,"n.a.")</x:f>
        <x:v>1500</x:v>
      </x:c>
      <x:c r="L24" s="51" t="n">
        <x:f>IF(AND(ISNUMBER('Assumptions'!$D$85),ISNUMBER('Assumptions'!$D$70)),'Assumptions'!$D$85*'Assumptions'!$D$70,"n.a.")</x:f>
        <x:v>1500</x:v>
      </x:c>
      <x:c r="M24" s="51" t="n">
        <x:f>IF(AND(ISNUMBER('Assumptions'!$D$85),ISNUMBER('Assumptions'!$D$70)),'Assumptions'!$D$85*'Assumptions'!$D$70,"n.a.")</x:f>
        <x:v>1500</x:v>
      </x:c>
      <x:c r="N24" s="51" t="n">
        <x:f>IF(AND(ISNUMBER('Assumptions'!$D$85),ISNUMBER('Assumptions'!$D$70)),'Assumptions'!$D$85*'Assumptions'!$D$70,"n.a.")</x:f>
        <x:v>1500</x:v>
      </x:c>
      <x:c r="O24" s="51" t="n">
        <x:f>IF(AND(ISNUMBER('Assumptions'!$D$85),ISNUMBER('Assumptions'!$D$70)),'Assumptions'!$D$85*'Assumptions'!$D$70,"n.a.")</x:f>
        <x:v>1500</x:v>
      </x:c>
      <x:c r="P24" s="51" t="n">
        <x:f>IF(AND(ISNUMBER('Assumptions'!$D$85),ISNUMBER('Assumptions'!$D$70)),'Assumptions'!$D$85*'Assumptions'!$D$70,"n.a.")</x:f>
        <x:v>1500</x:v>
      </x:c>
      <x:c r="Q24" s="51" t="n">
        <x:f>IF(AND(ISNUMBER('Assumptions'!$D$85),ISNUMBER('Assumptions'!$D$70)),'Assumptions'!$D$85*'Assumptions'!$D$70,"n.a.")</x:f>
        <x:v>1500</x:v>
      </x:c>
      <x:c r="R24" s="51" t="n">
        <x:f>IF(AND(ISNUMBER('Assumptions'!$D$85),ISNUMBER('Assumptions'!$D$70)),'Assumptions'!$D$85*'Assumptions'!$D$70,"n.a.")</x:f>
        <x:v>1500</x:v>
      </x:c>
    </x:row>
    <x:row r="25" ht="21" customHeight="1">
      <x:c r="A25" s="2"/>
      <x:c r="B25" s="2"/>
      <x:c r="C25" s="2" t="str">
        <x:v>Operating and outside cash obligations</x:v>
      </x:c>
      <x:c r="D25" s="2" t="str">
        <x:v>USD</x:v>
      </x:c>
      <x:c r="E25" s="52" t="n">
        <x:f>IF(COUNT(G25:R25)=12,SUM(G25:R25),"n.a.")</x:f>
        <x:v>2010000</x:v>
      </x:c>
      <x:c r="F25" s="2"/>
      <x:c r="G25" s="52" t="n">
        <x:f>IF(AND(ISNUMBER(G17),ISNUMBER(G21),ISNUMBER(G22),ISNUMBER(G23),ISNUMBER(G24)),G17+G21+G22+G23+G24,"n.a.")</x:f>
        <x:v>167500</x:v>
      </x:c>
      <x:c r="H25" s="52" t="n">
        <x:f>IF(AND(ISNUMBER(H17),ISNUMBER(H21),ISNUMBER(H22),ISNUMBER(H23),ISNUMBER(H24)),H17+H21+H22+H23+H24,"n.a.")</x:f>
        <x:v>167500</x:v>
      </x:c>
      <x:c r="I25" s="52" t="n">
        <x:f>IF(AND(ISNUMBER(I17),ISNUMBER(I21),ISNUMBER(I22),ISNUMBER(I23),ISNUMBER(I24)),I17+I21+I22+I23+I24,"n.a.")</x:f>
        <x:v>167500</x:v>
      </x:c>
      <x:c r="J25" s="52" t="n">
        <x:f>IF(AND(ISNUMBER(J17),ISNUMBER(J21),ISNUMBER(J22),ISNUMBER(J23),ISNUMBER(J24)),J17+J21+J22+J23+J24,"n.a.")</x:f>
        <x:v>167500</x:v>
      </x:c>
      <x:c r="K25" s="52" t="n">
        <x:f>IF(AND(ISNUMBER(K17),ISNUMBER(K21),ISNUMBER(K22),ISNUMBER(K23),ISNUMBER(K24)),K17+K21+K22+K23+K24,"n.a.")</x:f>
        <x:v>167500</x:v>
      </x:c>
      <x:c r="L25" s="52" t="n">
        <x:f>IF(AND(ISNUMBER(L17),ISNUMBER(L21),ISNUMBER(L22),ISNUMBER(L23),ISNUMBER(L24)),L17+L21+L22+L23+L24,"n.a.")</x:f>
        <x:v>167500</x:v>
      </x:c>
      <x:c r="M25" s="52" t="n">
        <x:f>IF(AND(ISNUMBER(M17),ISNUMBER(M21),ISNUMBER(M22),ISNUMBER(M23),ISNUMBER(M24)),M17+M21+M22+M23+M24,"n.a.")</x:f>
        <x:v>167500</x:v>
      </x:c>
      <x:c r="N25" s="52" t="n">
        <x:f>IF(AND(ISNUMBER(N17),ISNUMBER(N21),ISNUMBER(N22),ISNUMBER(N23),ISNUMBER(N24)),N17+N21+N22+N23+N24,"n.a.")</x:f>
        <x:v>167500</x:v>
      </x:c>
      <x:c r="O25" s="52" t="n">
        <x:f>IF(AND(ISNUMBER(O17),ISNUMBER(O21),ISNUMBER(O22),ISNUMBER(O23),ISNUMBER(O24)),O17+O21+O22+O23+O24,"n.a.")</x:f>
        <x:v>167500</x:v>
      </x:c>
      <x:c r="P25" s="52" t="n">
        <x:f>IF(AND(ISNUMBER(P17),ISNUMBER(P21),ISNUMBER(P22),ISNUMBER(P23),ISNUMBER(P24)),P17+P21+P22+P23+P24,"n.a.")</x:f>
        <x:v>167500</x:v>
      </x:c>
      <x:c r="Q25" s="52" t="n">
        <x:f>IF(AND(ISNUMBER(Q17),ISNUMBER(Q21),ISNUMBER(Q22),ISNUMBER(Q23),ISNUMBER(Q24)),Q17+Q21+Q22+Q23+Q24,"n.a.")</x:f>
        <x:v>167500</x:v>
      </x:c>
      <x:c r="R25" s="52" t="n">
        <x:f>IF(AND(ISNUMBER(R17),ISNUMBER(R21),ISNUMBER(R22),ISNUMBER(R23),ISNUMBER(R24)),R17+R21+R22+R23+R24,"n.a.")</x:f>
        <x:v>167500</x:v>
      </x:c>
    </x:row>
    <x:row r="26" ht="21" customHeight="1">
      <x:c r="A26" s="2"/>
      <x:c r="B26" s="2"/>
      <x:c r="C26" s="2" t="str">
        <x:v>Additional expansion / property capital</x:v>
      </x:c>
      <x:c r="D26" s="2" t="str">
        <x:v>USD</x:v>
      </x:c>
      <x:c r="E26" s="52" t="n">
        <x:f>IF(COUNT(G26:R26)=12,SUM(G26:R26),"n.a.")</x:f>
        <x:v>75000</x:v>
      </x:c>
      <x:c r="F26" s="2"/>
      <x:c r="G26" s="51" t="n">
        <x:f>IF(AND('Services and Restricted Cash'!N10="OK"),IF(AND(ISNUMBER('Services and Restricted Cash'!$M$10),ISNUMBER('Assumptions'!$D$70)),'Services and Restricted Cash'!$M$10*'Assumptions'!$D$70,"n.a."),"n.a.")</x:f>
        <x:v>0</x:v>
      </x:c>
      <x:c r="H26" s="51" t="n">
        <x:f>IF(AND('Services and Restricted Cash'!N11="OK"),IF(AND(ISNUMBER('Services and Restricted Cash'!$M$11),ISNUMBER('Assumptions'!$D$70)),'Services and Restricted Cash'!$M$11*'Assumptions'!$D$70,"n.a."),"n.a.")</x:f>
        <x:v>0</x:v>
      </x:c>
      <x:c r="I26" s="51" t="n">
        <x:f>IF(AND('Services and Restricted Cash'!N12="OK"),IF(AND(ISNUMBER('Services and Restricted Cash'!$M$12),ISNUMBER('Assumptions'!$D$70)),'Services and Restricted Cash'!$M$12*'Assumptions'!$D$70,"n.a."),"n.a.")</x:f>
        <x:v>0</x:v>
      </x:c>
      <x:c r="J26" s="51" t="n">
        <x:f>IF(AND('Services and Restricted Cash'!N13="OK"),IF(AND(ISNUMBER('Services and Restricted Cash'!$M$13),ISNUMBER('Assumptions'!$D$70)),'Services and Restricted Cash'!$M$13*'Assumptions'!$D$70,"n.a."),"n.a.")</x:f>
        <x:v>0</x:v>
      </x:c>
      <x:c r="K26" s="51" t="n">
        <x:f>IF(AND('Services and Restricted Cash'!N14="OK"),IF(AND(ISNUMBER('Services and Restricted Cash'!$M$14),ISNUMBER('Assumptions'!$D$70)),'Services and Restricted Cash'!$M$14*'Assumptions'!$D$70,"n.a."),"n.a.")</x:f>
        <x:v>75000</x:v>
      </x:c>
      <x:c r="L26" s="51" t="n">
        <x:f>IF(AND('Services and Restricted Cash'!N15="OK"),IF(AND(ISNUMBER('Services and Restricted Cash'!$M$15),ISNUMBER('Assumptions'!$D$70)),'Services and Restricted Cash'!$M$15*'Assumptions'!$D$70,"n.a."),"n.a.")</x:f>
        <x:v>0</x:v>
      </x:c>
      <x:c r="M26" s="51" t="n">
        <x:f>IF(AND('Services and Restricted Cash'!N16="OK"),IF(AND(ISNUMBER('Services and Restricted Cash'!$M$16),ISNUMBER('Assumptions'!$D$70)),'Services and Restricted Cash'!$M$16*'Assumptions'!$D$70,"n.a."),"n.a.")</x:f>
        <x:v>0</x:v>
      </x:c>
      <x:c r="N26" s="51" t="n">
        <x:f>IF(AND('Services and Restricted Cash'!N17="OK"),IF(AND(ISNUMBER('Services and Restricted Cash'!$M$17),ISNUMBER('Assumptions'!$D$70)),'Services and Restricted Cash'!$M$17*'Assumptions'!$D$70,"n.a."),"n.a.")</x:f>
        <x:v>0</x:v>
      </x:c>
      <x:c r="O26" s="51" t="n">
        <x:f>IF(AND('Services and Restricted Cash'!N18="OK"),IF(AND(ISNUMBER('Services and Restricted Cash'!$M$18),ISNUMBER('Assumptions'!$D$70)),'Services and Restricted Cash'!$M$18*'Assumptions'!$D$70,"n.a."),"n.a.")</x:f>
        <x:v>0</x:v>
      </x:c>
      <x:c r="P26" s="51" t="n">
        <x:f>IF(AND('Services and Restricted Cash'!N19="OK"),IF(AND(ISNUMBER('Services and Restricted Cash'!$M$19),ISNUMBER('Assumptions'!$D$70)),'Services and Restricted Cash'!$M$19*'Assumptions'!$D$70,"n.a."),"n.a.")</x:f>
        <x:v>0</x:v>
      </x:c>
      <x:c r="Q26" s="51" t="n">
        <x:f>IF(AND('Services and Restricted Cash'!N20="OK"),IF(AND(ISNUMBER('Services and Restricted Cash'!$M$20),ISNUMBER('Assumptions'!$D$70)),'Services and Restricted Cash'!$M$20*'Assumptions'!$D$70,"n.a."),"n.a.")</x:f>
        <x:v>0</x:v>
      </x:c>
      <x:c r="R26" s="51" t="n">
        <x:f>IF(AND('Services and Restricted Cash'!N21="OK"),IF(AND(ISNUMBER('Services and Restricted Cash'!$M$21),ISNUMBER('Assumptions'!$D$70)),'Services and Restricted Cash'!$M$21*'Assumptions'!$D$70,"n.a."),"n.a.")</x:f>
        <x:v>0</x:v>
      </x:c>
    </x:row>
    <x:row r="27" ht="21" customHeight="1">
      <x:c r="A27" s="2"/>
      <x:c r="B27" s="2"/>
      <x:c r="C27" s="2" t="str">
        <x:v>Fixed property / entity costs</x:v>
      </x:c>
      <x:c r="D27" s="2" t="str">
        <x:v>USD</x:v>
      </x:c>
      <x:c r="E27" s="52" t="n">
        <x:f>IF(COUNT(G27:R27)=12,SUM(G27:R27),"n.a.")</x:f>
        <x:v>0</x:v>
      </x:c>
      <x:c r="F27" s="2"/>
      <x:c r="G27" s="51" t="n">
        <x:f>IF(AND(ISNUMBER('Assumptions'!$D$55)),'Assumptions'!$D$55/12,"n.a.")</x:f>
        <x:v>0</x:v>
      </x:c>
      <x:c r="H27" s="51" t="n">
        <x:f>IF(AND(ISNUMBER('Assumptions'!$D$55)),'Assumptions'!$D$55/12,"n.a.")</x:f>
        <x:v>0</x:v>
      </x:c>
      <x:c r="I27" s="51" t="n">
        <x:f>IF(AND(ISNUMBER('Assumptions'!$D$55)),'Assumptions'!$D$55/12,"n.a.")</x:f>
        <x:v>0</x:v>
      </x:c>
      <x:c r="J27" s="51" t="n">
        <x:f>IF(AND(ISNUMBER('Assumptions'!$D$55)),'Assumptions'!$D$55/12,"n.a.")</x:f>
        <x:v>0</x:v>
      </x:c>
      <x:c r="K27" s="51" t="n">
        <x:f>IF(AND(ISNUMBER('Assumptions'!$D$55)),'Assumptions'!$D$55/12,"n.a.")</x:f>
        <x:v>0</x:v>
      </x:c>
      <x:c r="L27" s="51" t="n">
        <x:f>IF(AND(ISNUMBER('Assumptions'!$D$55)),'Assumptions'!$D$55/12,"n.a.")</x:f>
        <x:v>0</x:v>
      </x:c>
      <x:c r="M27" s="51" t="n">
        <x:f>IF(AND(ISNUMBER('Assumptions'!$D$55)),'Assumptions'!$D$55/12,"n.a.")</x:f>
        <x:v>0</x:v>
      </x:c>
      <x:c r="N27" s="51" t="n">
        <x:f>IF(AND(ISNUMBER('Assumptions'!$D$55)),'Assumptions'!$D$55/12,"n.a.")</x:f>
        <x:v>0</x:v>
      </x:c>
      <x:c r="O27" s="51" t="n">
        <x:f>IF(AND(ISNUMBER('Assumptions'!$D$55)),'Assumptions'!$D$55/12,"n.a.")</x:f>
        <x:v>0</x:v>
      </x:c>
      <x:c r="P27" s="51" t="n">
        <x:f>IF(AND(ISNUMBER('Assumptions'!$D$55)),'Assumptions'!$D$55/12,"n.a.")</x:f>
        <x:v>0</x:v>
      </x:c>
      <x:c r="Q27" s="51" t="n">
        <x:f>IF(AND(ISNUMBER('Assumptions'!$D$55)),'Assumptions'!$D$55/12,"n.a.")</x:f>
        <x:v>0</x:v>
      </x:c>
      <x:c r="R27" s="51" t="n">
        <x:f>IF(AND(ISNUMBER('Assumptions'!$D$55)),'Assumptions'!$D$55/12,"n.a.")</x:f>
        <x:v>0</x:v>
      </x:c>
    </x:row>
    <x:row r="28" ht="21" customHeight="1">
      <x:c r="A28" s="2"/>
      <x:c r="B28" s="2"/>
      <x:c r="C28" s="56" t="str">
        <x:v>Total cash operating costs</x:v>
      </x:c>
      <x:c r="D28" s="56" t="str">
        <x:v>USD</x:v>
      </x:c>
      <x:c r="E28" s="57" t="n">
        <x:f>IF(COUNT(G28:R28)=12,SUM(G28:R28),"n.a.")</x:f>
        <x:v>2010000</x:v>
      </x:c>
      <x:c r="F28" s="56"/>
      <x:c r="G28" s="57" t="n">
        <x:f>IF(AND(ISNUMBER(G25),ISNUMBER(G27)),G25+G27,"n.a.")</x:f>
        <x:v>167500</x:v>
      </x:c>
      <x:c r="H28" s="57" t="n">
        <x:f>IF(AND(ISNUMBER(H25),ISNUMBER(H27)),H25+H27,"n.a.")</x:f>
        <x:v>167500</x:v>
      </x:c>
      <x:c r="I28" s="57" t="n">
        <x:f>IF(AND(ISNUMBER(I25),ISNUMBER(I27)),I25+I27,"n.a.")</x:f>
        <x:v>167500</x:v>
      </x:c>
      <x:c r="J28" s="57" t="n">
        <x:f>IF(AND(ISNUMBER(J25),ISNUMBER(J27)),J25+J27,"n.a.")</x:f>
        <x:v>167500</x:v>
      </x:c>
      <x:c r="K28" s="57" t="n">
        <x:f>IF(AND(ISNUMBER(K25),ISNUMBER(K27)),K25+K27,"n.a.")</x:f>
        <x:v>167500</x:v>
      </x:c>
      <x:c r="L28" s="57" t="n">
        <x:f>IF(AND(ISNUMBER(L25),ISNUMBER(L27)),L25+L27,"n.a.")</x:f>
        <x:v>167500</x:v>
      </x:c>
      <x:c r="M28" s="57" t="n">
        <x:f>IF(AND(ISNUMBER(M25),ISNUMBER(M27)),M25+M27,"n.a.")</x:f>
        <x:v>167500</x:v>
      </x:c>
      <x:c r="N28" s="57" t="n">
        <x:f>IF(AND(ISNUMBER(N25),ISNUMBER(N27)),N25+N27,"n.a.")</x:f>
        <x:v>167500</x:v>
      </x:c>
      <x:c r="O28" s="57" t="n">
        <x:f>IF(AND(ISNUMBER(O25),ISNUMBER(O27)),O25+O27,"n.a.")</x:f>
        <x:v>167500</x:v>
      </x:c>
      <x:c r="P28" s="57" t="n">
        <x:f>IF(AND(ISNUMBER(P25),ISNUMBER(P27)),P25+P27,"n.a.")</x:f>
        <x:v>167500</x:v>
      </x:c>
      <x:c r="Q28" s="57" t="n">
        <x:f>IF(AND(ISNUMBER(Q25),ISNUMBER(Q27)),Q25+Q27,"n.a.")</x:f>
        <x:v>167500</x:v>
      </x:c>
      <x:c r="R28" s="57" t="n">
        <x:f>IF(AND(ISNUMBER(R25),ISNUMBER(R27)),R25+R27,"n.a.")</x:f>
        <x:v>167500</x:v>
      </x:c>
    </x:row>
    <x:row r="29" ht="21" customHeight="1">
      <x:c r="A29" s="2"/>
      <x:c r="B29" s="2"/>
      <x:c r="C29" s="56" t="str">
        <x:v>Combined cash after listed obligations</x:v>
      </x:c>
      <x:c r="D29" s="56" t="str">
        <x:v>USD</x:v>
      </x:c>
      <x:c r="E29" s="57" t="n">
        <x:f>IF(COUNT(G29:R29)=12,SUM(G29:R29),"n.a.")</x:f>
        <x:v>414000</x:v>
      </x:c>
      <x:c r="F29" s="56"/>
      <x:c r="G29" s="57" t="n">
        <x:f>IF(AND(ISNUMBER(G20),ISNUMBER(G28)),G20-G28,"n.a.")</x:f>
        <x:v>34500</x:v>
      </x:c>
      <x:c r="H29" s="57" t="n">
        <x:f>IF(AND(ISNUMBER(H20),ISNUMBER(H28)),H20-H28,"n.a.")</x:f>
        <x:v>34500</x:v>
      </x:c>
      <x:c r="I29" s="57" t="n">
        <x:f>IF(AND(ISNUMBER(I20),ISNUMBER(I28)),I20-I28,"n.a.")</x:f>
        <x:v>34500</x:v>
      </x:c>
      <x:c r="J29" s="57" t="n">
        <x:f>IF(AND(ISNUMBER(J20),ISNUMBER(J28)),J20-J28,"n.a.")</x:f>
        <x:v>34500</x:v>
      </x:c>
      <x:c r="K29" s="57" t="n">
        <x:f>IF(AND(ISNUMBER(K20),ISNUMBER(K28)),K20-K28,"n.a.")</x:f>
        <x:v>34500</x:v>
      </x:c>
      <x:c r="L29" s="57" t="n">
        <x:f>IF(AND(ISNUMBER(L20),ISNUMBER(L28)),L20-L28,"n.a.")</x:f>
        <x:v>34500</x:v>
      </x:c>
      <x:c r="M29" s="57" t="n">
        <x:f>IF(AND(ISNUMBER(M20),ISNUMBER(M28)),M20-M28,"n.a.")</x:f>
        <x:v>34500</x:v>
      </x:c>
      <x:c r="N29" s="57" t="n">
        <x:f>IF(AND(ISNUMBER(N20),ISNUMBER(N28)),N20-N28,"n.a.")</x:f>
        <x:v>34500</x:v>
      </x:c>
      <x:c r="O29" s="57" t="n">
        <x:f>IF(AND(ISNUMBER(O20),ISNUMBER(O28)),O20-O28,"n.a.")</x:f>
        <x:v>34500</x:v>
      </x:c>
      <x:c r="P29" s="57" t="n">
        <x:f>IF(AND(ISNUMBER(P20),ISNUMBER(P28)),P20-P28,"n.a.")</x:f>
        <x:v>34500</x:v>
      </x:c>
      <x:c r="Q29" s="57" t="n">
        <x:f>IF(AND(ISNUMBER(Q20),ISNUMBER(Q28)),Q20-Q28,"n.a.")</x:f>
        <x:v>34500</x:v>
      </x:c>
      <x:c r="R29" s="57" t="n">
        <x:f>IF(AND(ISNUMBER(R20),ISNUMBER(R28)),R20-R28,"n.a.")</x:f>
        <x:v>34500</x:v>
      </x:c>
    </x:row>
    <x:row r="30" ht="21" customHeight="1">
      <x:c r="A30" s="2"/>
      <x:c r="B30" s="2"/>
      <x:c r="C30" s="2" t="str">
        <x:v>Cash replacement reserve deposits</x:v>
      </x:c>
      <x:c r="D30" s="2" t="str">
        <x:v>USD</x:v>
      </x:c>
      <x:c r="E30" s="52" t="n">
        <x:f>IF(COUNT(G30:R30)=12,SUM(G30:R30),"n.a.")</x:f>
        <x:v>0</x:v>
      </x:c>
      <x:c r="F30" s="2"/>
      <x:c r="G30" s="51" t="n">
        <x:f>IF(AND(ISNUMBER(G20),ISNUMBER('Assumptions'!$D$58)),MAX(0,G20)*'Assumptions'!$D$58,"n.a.")</x:f>
        <x:v>0</x:v>
      </x:c>
      <x:c r="H30" s="51" t="n">
        <x:f>IF(AND(ISNUMBER(H20),ISNUMBER('Assumptions'!$D$58)),MAX(0,H20)*'Assumptions'!$D$58,"n.a.")</x:f>
        <x:v>0</x:v>
      </x:c>
      <x:c r="I30" s="51" t="n">
        <x:f>IF(AND(ISNUMBER(I20),ISNUMBER('Assumptions'!$D$58)),MAX(0,I20)*'Assumptions'!$D$58,"n.a.")</x:f>
        <x:v>0</x:v>
      </x:c>
      <x:c r="J30" s="51" t="n">
        <x:f>IF(AND(ISNUMBER(J20),ISNUMBER('Assumptions'!$D$58)),MAX(0,J20)*'Assumptions'!$D$58,"n.a.")</x:f>
        <x:v>0</x:v>
      </x:c>
      <x:c r="K30" s="51" t="n">
        <x:f>IF(AND(ISNUMBER(K20),ISNUMBER('Assumptions'!$D$58)),MAX(0,K20)*'Assumptions'!$D$58,"n.a.")</x:f>
        <x:v>0</x:v>
      </x:c>
      <x:c r="L30" s="51" t="n">
        <x:f>IF(AND(ISNUMBER(L20),ISNUMBER('Assumptions'!$D$58)),MAX(0,L20)*'Assumptions'!$D$58,"n.a.")</x:f>
        <x:v>0</x:v>
      </x:c>
      <x:c r="M30" s="51" t="n">
        <x:f>IF(AND(ISNUMBER(M20),ISNUMBER('Assumptions'!$D$58)),MAX(0,M20)*'Assumptions'!$D$58,"n.a.")</x:f>
        <x:v>0</x:v>
      </x:c>
      <x:c r="N30" s="51" t="n">
        <x:f>IF(AND(ISNUMBER(N20),ISNUMBER('Assumptions'!$D$58)),MAX(0,N20)*'Assumptions'!$D$58,"n.a.")</x:f>
        <x:v>0</x:v>
      </x:c>
      <x:c r="O30" s="51" t="n">
        <x:f>IF(AND(ISNUMBER(O20),ISNUMBER('Assumptions'!$D$58)),MAX(0,O20)*'Assumptions'!$D$58,"n.a.")</x:f>
        <x:v>0</x:v>
      </x:c>
      <x:c r="P30" s="51" t="n">
        <x:f>IF(AND(ISNUMBER(P20),ISNUMBER('Assumptions'!$D$58)),MAX(0,P20)*'Assumptions'!$D$58,"n.a.")</x:f>
        <x:v>0</x:v>
      </x:c>
      <x:c r="Q30" s="51" t="n">
        <x:f>IF(AND(ISNUMBER(Q20),ISNUMBER('Assumptions'!$D$58)),MAX(0,Q20)*'Assumptions'!$D$58,"n.a.")</x:f>
        <x:v>0</x:v>
      </x:c>
      <x:c r="R30" s="51" t="n">
        <x:f>IF(AND(ISNUMBER(R20),ISNUMBER('Assumptions'!$D$58)),MAX(0,R20)*'Assumptions'!$D$58,"n.a.")</x:f>
        <x:v>0</x:v>
      </x:c>
    </x:row>
    <x:row r="31" ht="21" customHeight="1">
      <x:c r="A31" s="2"/>
      <x:c r="B31" s="2"/>
      <x:c r="C31" s="56" t="str">
        <x:v>Cash NCF before property debt / capital</x:v>
      </x:c>
      <x:c r="D31" s="56" t="str">
        <x:v>USD</x:v>
      </x:c>
      <x:c r="E31" s="57" t="n">
        <x:f>IF(COUNT(G31:R31)=12,SUM(G31:R31),"n.a.")</x:f>
        <x:v>414000</x:v>
      </x:c>
      <x:c r="F31" s="56"/>
      <x:c r="G31" s="57" t="n">
        <x:f>IF(AND(ISNUMBER(G29),ISNUMBER(G30)),G29-G30,"n.a.")</x:f>
        <x:v>34500</x:v>
      </x:c>
      <x:c r="H31" s="57" t="n">
        <x:f>IF(AND(ISNUMBER(H29),ISNUMBER(H30)),H29-H30,"n.a.")</x:f>
        <x:v>34500</x:v>
      </x:c>
      <x:c r="I31" s="57" t="n">
        <x:f>IF(AND(ISNUMBER(I29),ISNUMBER(I30)),I29-I30,"n.a.")</x:f>
        <x:v>34500</x:v>
      </x:c>
      <x:c r="J31" s="57" t="n">
        <x:f>IF(AND(ISNUMBER(J29),ISNUMBER(J30)),J29-J30,"n.a.")</x:f>
        <x:v>34500</x:v>
      </x:c>
      <x:c r="K31" s="57" t="n">
        <x:f>IF(AND(ISNUMBER(K29),ISNUMBER(K30)),K29-K30,"n.a.")</x:f>
        <x:v>34500</x:v>
      </x:c>
      <x:c r="L31" s="57" t="n">
        <x:f>IF(AND(ISNUMBER(L29),ISNUMBER(L30)),L29-L30,"n.a.")</x:f>
        <x:v>34500</x:v>
      </x:c>
      <x:c r="M31" s="57" t="n">
        <x:f>IF(AND(ISNUMBER(M29),ISNUMBER(M30)),M29-M30,"n.a.")</x:f>
        <x:v>34500</x:v>
      </x:c>
      <x:c r="N31" s="57" t="n">
        <x:f>IF(AND(ISNUMBER(N29),ISNUMBER(N30)),N29-N30,"n.a.")</x:f>
        <x:v>34500</x:v>
      </x:c>
      <x:c r="O31" s="57" t="n">
        <x:f>IF(AND(ISNUMBER(O29),ISNUMBER(O30)),O29-O30,"n.a.")</x:f>
        <x:v>34500</x:v>
      </x:c>
      <x:c r="P31" s="57" t="n">
        <x:f>IF(AND(ISNUMBER(P29),ISNUMBER(P30)),P29-P30,"n.a.")</x:f>
        <x:v>34500</x:v>
      </x:c>
      <x:c r="Q31" s="57" t="n">
        <x:f>IF(AND(ISNUMBER(Q29),ISNUMBER(Q30)),Q29-Q30,"n.a.")</x:f>
        <x:v>34500</x:v>
      </x:c>
      <x:c r="R31" s="57" t="n">
        <x:f>IF(AND(ISNUMBER(R29),ISNUMBER(R30)),R29-R30,"n.a.")</x:f>
        <x:v>34500</x:v>
      </x:c>
    </x:row>
    <x:row r="32" ht="21" customHeight="1">
      <x:c r="A32" s="2"/>
      <x:c r="B32" s="2"/>
      <x:c r="C32" s="2"/>
      <x:c r="D32" s="2"/>
      <x:c r="E32" s="2"/>
      <x:c r="F32" s="2"/>
      <x:c r="G32" s="2"/>
      <x:c r="H32" s="2"/>
      <x:c r="I32" s="2"/>
      <x:c r="J32" s="2"/>
      <x:c r="K32" s="2"/>
      <x:c r="L32" s="2"/>
      <x:c r="M32" s="2"/>
      <x:c r="N32" s="2"/>
      <x:c r="O32" s="2"/>
      <x:c r="P32" s="2"/>
      <x:c r="Q32" s="2"/>
      <x:c r="R32" s="2"/>
    </x:row>
    <x:row r="33" ht="21" customHeight="1">
      <x:c r="A33" s="2"/>
      <x:c r="B33" s="2"/>
      <x:c r="C33" s="2"/>
      <x:c r="D33" s="2"/>
      <x:c r="E33" s="2"/>
      <x:c r="F33" s="2"/>
      <x:c r="G33" s="2"/>
      <x:c r="H33" s="2"/>
      <x:c r="I33" s="2"/>
      <x:c r="J33" s="2"/>
      <x:c r="K33" s="2"/>
      <x:c r="L33" s="2"/>
      <x:c r="M33" s="2"/>
      <x:c r="N33" s="2"/>
      <x:c r="O33" s="2"/>
      <x:c r="P33" s="2"/>
      <x:c r="Q33" s="2"/>
      <x:c r="R33" s="2"/>
    </x:row>
    <x:row r="34" ht="21" customHeight="1">
      <x:c r="A34" s="2"/>
      <x:c r="B34" s="2"/>
      <x:c r="C34" s="2"/>
      <x:c r="D34" s="2"/>
      <x:c r="E34" s="2"/>
      <x:c r="F34" s="2"/>
      <x:c r="G34" s="2"/>
      <x:c r="H34" s="2"/>
      <x:c r="I34" s="2"/>
      <x:c r="J34" s="2"/>
      <x:c r="K34" s="2"/>
      <x:c r="L34" s="2"/>
      <x:c r="M34" s="2"/>
      <x:c r="N34" s="2"/>
      <x:c r="O34" s="2"/>
      <x:c r="P34" s="2"/>
      <x:c r="Q34" s="2"/>
      <x:c r="R34" s="2"/>
    </x:row>
    <x:row r="35" ht="21" customHeight="1">
      <x:c r="A35" s="2"/>
      <x:c r="B35" s="2"/>
      <x:c r="C35" s="2"/>
      <x:c r="D35" s="2"/>
      <x:c r="E35" s="2"/>
      <x:c r="F35" s="2"/>
      <x:c r="G35" s="2"/>
      <x:c r="H35" s="2"/>
      <x:c r="I35" s="2"/>
      <x:c r="J35" s="2"/>
      <x:c r="K35" s="2"/>
      <x:c r="L35" s="2"/>
      <x:c r="M35" s="2"/>
      <x:c r="N35" s="2"/>
      <x:c r="O35" s="2"/>
      <x:c r="P35" s="2"/>
      <x:c r="Q35" s="2"/>
      <x:c r="R35" s="2"/>
    </x:row>
    <x:row r="36" ht="21" customHeight="1">
      <x:c r="A36" s="2"/>
      <x:c r="B36" s="2"/>
      <x:c r="C36" s="2"/>
      <x:c r="D36" s="2"/>
      <x:c r="E36" s="2"/>
      <x:c r="F36" s="2"/>
      <x:c r="G36" s="2"/>
      <x:c r="H36" s="2"/>
      <x:c r="I36" s="2"/>
      <x:c r="J36" s="2"/>
      <x:c r="K36" s="2"/>
      <x:c r="L36" s="2"/>
      <x:c r="M36" s="2"/>
      <x:c r="N36" s="2"/>
      <x:c r="O36" s="2"/>
      <x:c r="P36" s="2"/>
      <x:c r="Q36" s="2"/>
      <x:c r="R36" s="2"/>
    </x:row>
    <x:row r="37" ht="21" customHeight="1">
      <x:c r="A37" s="2"/>
      <x:c r="B37" s="2"/>
      <x:c r="C37" s="2"/>
      <x:c r="D37" s="2"/>
      <x:c r="E37" s="2"/>
      <x:c r="F37" s="2"/>
      <x:c r="G37" s="2"/>
      <x:c r="H37" s="2"/>
      <x:c r="I37" s="2"/>
      <x:c r="J37" s="2"/>
      <x:c r="K37" s="2"/>
      <x:c r="L37" s="2"/>
      <x:c r="M37" s="2"/>
      <x:c r="N37" s="2"/>
      <x:c r="O37" s="2"/>
      <x:c r="P37" s="2"/>
      <x:c r="Q37" s="2"/>
      <x:c r="R37" s="2"/>
    </x:row>
    <x:row r="38" ht="21" customHeight="1">
      <x:c r="A38" s="2"/>
      <x:c r="B38" s="2"/>
      <x:c r="C38" s="2"/>
      <x:c r="D38" s="2"/>
      <x:c r="E38" s="2"/>
      <x:c r="F38" s="2"/>
      <x:c r="G38" s="2"/>
      <x:c r="H38" s="2"/>
      <x:c r="I38" s="2"/>
      <x:c r="J38" s="2"/>
      <x:c r="K38" s="2"/>
      <x:c r="L38" s="2"/>
      <x:c r="M38" s="2"/>
      <x:c r="N38" s="2"/>
      <x:c r="O38" s="2"/>
      <x:c r="P38" s="2"/>
      <x:c r="Q38" s="2"/>
      <x:c r="R38" s="2"/>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x:c r="D43" s="2"/>
      <x:c r="E43" s="2"/>
      <x:c r="F43" s="2"/>
      <x:c r="G43" s="2"/>
      <x:c r="H43" s="2"/>
      <x:c r="I43" s="2"/>
      <x:c r="J43" s="2"/>
      <x:c r="K43" s="2"/>
      <x:c r="L43" s="2"/>
      <x:c r="M43" s="2"/>
      <x:c r="N43" s="2"/>
      <x:c r="O43" s="2"/>
      <x:c r="P43" s="2"/>
      <x:c r="Q43" s="2"/>
      <x:c r="R43" s="2"/>
    </x:row>
    <x:row r="44" ht="21" customHeight="1">
      <x:c r="A44" s="2"/>
      <x:c r="B44" s="2"/>
      <x:c r="C44" s="2"/>
      <x:c r="D44" s="2"/>
      <x:c r="E44" s="2"/>
      <x:c r="F44" s="2"/>
      <x:c r="G44" s="2"/>
      <x:c r="H44" s="2"/>
      <x:c r="I44" s="2"/>
      <x:c r="J44" s="2"/>
      <x:c r="K44" s="2"/>
      <x:c r="L44" s="2"/>
      <x:c r="M44" s="2"/>
      <x:c r="N44" s="2"/>
      <x:c r="O44" s="2"/>
      <x:c r="P44" s="2"/>
      <x:c r="Q44" s="2"/>
      <x:c r="R44" s="2"/>
    </x:row>
    <x:row r="45" ht="21" customHeight="1">
      <x:c r="A45" s="2"/>
      <x:c r="B45" s="2"/>
      <x:c r="C45" s="2"/>
      <x:c r="D45" s="2"/>
      <x:c r="E45" s="2"/>
      <x:c r="F45" s="2"/>
      <x:c r="G45" s="2"/>
      <x:c r="H45" s="2"/>
      <x:c r="I45" s="2"/>
      <x:c r="J45" s="2"/>
      <x:c r="K45" s="2"/>
      <x:c r="L45" s="2"/>
      <x:c r="M45" s="2"/>
      <x:c r="N45" s="2"/>
      <x:c r="O45" s="2"/>
      <x:c r="P45" s="2"/>
      <x:c r="Q45" s="2"/>
      <x:c r="R45" s="2"/>
    </x:row>
    <x:row r="46" ht="21" customHeight="1">
      <x:c r="A46" s="2"/>
      <x:c r="B46" s="2"/>
      <x:c r="C46" s="2"/>
      <x:c r="D46" s="2"/>
      <x:c r="E46" s="2"/>
      <x:c r="F46" s="2"/>
      <x:c r="G46" s="2"/>
      <x:c r="H46" s="2"/>
      <x:c r="I46" s="2"/>
      <x:c r="J46" s="2"/>
      <x:c r="K46" s="2"/>
      <x:c r="L46" s="2"/>
      <x:c r="M46" s="2"/>
      <x:c r="N46" s="2"/>
      <x:c r="O46" s="2"/>
      <x:c r="P46" s="2"/>
      <x:c r="Q46" s="2"/>
      <x:c r="R46" s="2"/>
    </x:row>
    <x:row r="47" ht="21" customHeight="1">
      <x:c r="A47" s="2"/>
      <x:c r="B47" s="2"/>
      <x:c r="C47" s="2"/>
      <x:c r="D47" s="2"/>
      <x:c r="E47" s="2"/>
      <x:c r="F47" s="2"/>
      <x:c r="G47" s="2"/>
      <x:c r="H47" s="2"/>
      <x:c r="I47" s="2"/>
      <x:c r="J47" s="2"/>
      <x:c r="K47" s="2"/>
      <x:c r="L47" s="2"/>
      <x:c r="M47" s="2"/>
      <x:c r="N47" s="2"/>
      <x:c r="O47" s="2"/>
      <x:c r="P47" s="2"/>
      <x:c r="Q47" s="2"/>
      <x:c r="R47" s="2"/>
    </x:row>
    <x:row r="48" ht="21" customHeight="1">
      <x:c r="A48" s="2"/>
      <x:c r="B48" s="2"/>
      <x:c r="C48" s="2"/>
      <x:c r="D48" s="2"/>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3" ySplit="28" topLeftCell="D29" activePane="bottomRight" state="frozen"/>
    </x:sheetView>
  </x:sheetViews>
  <x:sheetFormatPr defaultRowHeight="15"/>
  <x:cols>
    <x:col min="1" max="1" width="2.5" hidden="0" customWidth="1"/>
    <x:col min="2" max="2" width="2.5" hidden="0" customWidth="1"/>
    <x:col min="3" max="3" width="49" hidden="0" customWidth="1"/>
    <x:col min="4" max="4" width="19" hidden="0" customWidth="1"/>
    <x:col min="5" max="5" width="3"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Debt sizing and cash funding</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21" customHeight="1">
      <x:c r="A9" s="2"/>
      <x:c r="B9" s="2"/>
      <x:c r="C9" s="2" t="str">
        <x:v>Annual underwritten NCF</x:v>
      </x:c>
      <x:c r="D9" s="51" t="n">
        <x:f>IF(AND(ISNUMBER('Operations'!E31),ISNUMBER('Assumptions'!$D$52)),'Operations'!E31+'Assumptions'!$D$52,"n.a.")</x:f>
        <x:v>414000</x:v>
      </x:c>
      <x:c r="E9" s="2"/>
      <x:c r="F9" s="2"/>
      <x:c r="G9" s="2"/>
      <x:c r="H9" s="2"/>
      <x:c r="I9" s="2"/>
      <x:c r="J9" s="2"/>
      <x:c r="K9" s="2"/>
      <x:c r="L9" s="2"/>
      <x:c r="M9" s="2"/>
      <x:c r="N9" s="2"/>
      <x:c r="O9" s="2"/>
      <x:c r="P9" s="2"/>
      <x:c r="Q9" s="2"/>
      <x:c r="R9" s="2"/>
    </x:row>
    <x:row r="10" ht="21" customHeight="1">
      <x:c r="A10" s="2"/>
      <x:c r="B10" s="2"/>
      <x:c r="C10" s="2" t="str">
        <x:v>Monthly amortizing factor</x:v>
      </x:c>
      <x:c r="D10" s="59" t="n">
        <x:f>IF(AND(ISNUMBER('Assumptions'!$D$31),ISNUMBER('Assumptions'!$D$34)),IF('Assumptions'!$D$31=0,1/('Assumptions'!$D$34*12),('Assumptions'!$D$31/12)/(1-(1+'Assumptions'!$D$31/12)^(-'Assumptions'!$D$34*12))),"n.a.")</x:f>
        <x:v>0.0067520716134764165</x:v>
      </x:c>
      <x:c r="E10" s="2"/>
      <x:c r="F10" s="2"/>
      <x:c r="G10" s="2"/>
      <x:c r="H10" s="2"/>
      <x:c r="I10" s="2"/>
      <x:c r="J10" s="2"/>
      <x:c r="K10" s="2"/>
      <x:c r="L10" s="2"/>
      <x:c r="M10" s="2"/>
      <x:c r="N10" s="2"/>
      <x:c r="O10" s="2"/>
      <x:c r="P10" s="2"/>
      <x:c r="Q10" s="2"/>
      <x:c r="R10" s="2"/>
    </x:row>
    <x:row r="11" ht="21" customHeight="1">
      <x:c r="A11" s="2"/>
      <x:c r="B11" s="2"/>
      <x:c r="C11" s="2" t="str">
        <x:v>DSCR loan capacity</x:v>
      </x:c>
      <x:c r="D11" s="51" t="n">
        <x:f>IF(AND(ISNUMBER(D9),ISNUMBER('Assumptions'!$D$46),ISNUMBER(D10)),MAX(0,D9)/'Assumptions'!$D$46/(D10*12),"n.a.")</x:f>
        <x:v>4087634.3706001784</x:v>
      </x:c>
      <x:c r="E11" s="2"/>
      <x:c r="F11" s="2"/>
      <x:c r="G11" s="2" t="str">
        <x:v>Monthly interest is annual rate /12. Amortization starts after IO using the full entered amortization period.</x:v>
      </x:c>
      <x:c r="H11" s="2"/>
      <x:c r="I11" s="2"/>
      <x:c r="J11" s="2"/>
      <x:c r="K11" s="2"/>
      <x:c r="L11" s="2"/>
      <x:c r="M11" s="2"/>
      <x:c r="N11" s="2"/>
      <x:c r="O11" s="2"/>
      <x:c r="P11" s="2"/>
      <x:c r="Q11" s="2"/>
      <x:c r="R11" s="2"/>
    </x:row>
    <x:row r="12" ht="21" customHeight="1">
      <x:c r="A12" s="2"/>
      <x:c r="B12" s="2"/>
      <x:c r="C12" s="2" t="str">
        <x:v>LTV loan capacity</x:v>
      </x:c>
      <x:c r="D12" s="51" t="n">
        <x:f>IF(AND(ISNUMBER('Assumptions'!$D$10),ISNUMBER('Assumptions'!$D$43)),'Assumptions'!$D$10*'Assumptions'!$D$43,"n.a.")</x:f>
        <x:v>1950000</x:v>
      </x:c>
      <x:c r="E12" s="2"/>
      <x:c r="F12" s="2"/>
      <x:c r="G12" s="2"/>
      <x:c r="H12" s="2"/>
      <x:c r="I12" s="2"/>
      <x:c r="J12" s="2"/>
      <x:c r="K12" s="2"/>
      <x:c r="L12" s="2"/>
      <x:c r="M12" s="2"/>
      <x:c r="N12" s="2"/>
      <x:c r="O12" s="2"/>
      <x:c r="P12" s="2"/>
      <x:c r="Q12" s="2"/>
      <x:c r="R12" s="2"/>
    </x:row>
    <x:row r="13" ht="21" customHeight="1">
      <x:c r="A13" s="2"/>
      <x:c r="B13" s="2"/>
      <x:c r="C13" s="2" t="str">
        <x:v>Debt-yield loan capacity</x:v>
      </x:c>
      <x:c r="D13" s="51" t="n">
        <x:f>IF(AND(ISNUMBER(D9),ISNUMBER('Assumptions'!$D$49)),MAX(0,D9)/'Assumptions'!$D$49,"n.a.")</x:f>
        <x:v>4600000</x:v>
      </x:c>
      <x:c r="E13" s="2"/>
      <x:c r="F13" s="2"/>
      <x:c r="G13" s="2" t="str">
        <x:v>Sizing always uses amortizing annual service. Actual first-year DSCR may be higher during IO.</x:v>
      </x:c>
      <x:c r="H13" s="2"/>
      <x:c r="I13" s="2"/>
      <x:c r="J13" s="2"/>
      <x:c r="K13" s="2"/>
      <x:c r="L13" s="2"/>
      <x:c r="M13" s="2"/>
      <x:c r="N13" s="2"/>
      <x:c r="O13" s="2"/>
      <x:c r="P13" s="2"/>
      <x:c r="Q13" s="2"/>
      <x:c r="R13" s="2"/>
    </x:row>
    <x:row r="14" ht="21" customHeight="1">
      <x:c r="A14" s="2"/>
      <x:c r="B14" s="2"/>
      <x:c r="C14" s="2" t="str">
        <x:v>Sized loan amount</x:v>
      </x:c>
      <x:c r="D14" s="51" t="n">
        <x:f>IF(AND(ISNUMBER(D11),ISNUMBER(D12),ISNUMBER(D13),ISNUMBER('Assumptions'!$D$28)),MIN(D11,D12,D13,'Assumptions'!$D$28),"n.a.")</x:f>
        <x:v>1800000</x:v>
      </x:c>
      <x:c r="E14" s="2"/>
      <x:c r="F14" s="2"/>
      <x:c r="G14" s="2"/>
      <x:c r="H14" s="2"/>
      <x:c r="I14" s="2"/>
      <x:c r="J14" s="2"/>
      <x:c r="K14" s="2"/>
      <x:c r="L14" s="2"/>
      <x:c r="M14" s="2"/>
      <x:c r="N14" s="2"/>
      <x:c r="O14" s="2"/>
      <x:c r="P14" s="2"/>
      <x:c r="Q14" s="2"/>
      <x:c r="R14" s="2"/>
    </x:row>
    <x:row r="15" ht="21" customHeight="1">
      <x:c r="A15" s="2"/>
      <x:c r="B15" s="2"/>
      <x:c r="C15" s="2" t="str">
        <x:v>Binding quantitative constraint</x:v>
      </x:c>
      <x:c r="D15" s="13" t="str">
        <x:f>IF(COUNT(D11,D12,D13,D14)=4,IF(D14=D11,"DSCR",IF(D14=D12,"LTV",IF(D14=D13,"Debt yield","Requested ceiling"))),"n.a.")</x:f>
        <x:v>Requested ceiling</x:v>
      </x:c>
      <x:c r="E15" s="2"/>
      <x:c r="F15" s="2"/>
      <x:c r="G15" s="2" t="str">
        <x:v>The maturity balloon is principal only; payoff interest, premiums and future refi costs are excluded.</x:v>
      </x:c>
      <x:c r="H15" s="2"/>
      <x:c r="I15" s="2"/>
      <x:c r="J15" s="2"/>
      <x:c r="K15" s="2"/>
      <x:c r="L15" s="2"/>
      <x:c r="M15" s="2"/>
      <x:c r="N15" s="2"/>
      <x:c r="O15" s="2"/>
      <x:c r="P15" s="2"/>
      <x:c r="Q15" s="2"/>
      <x:c r="R15" s="2"/>
    </x:row>
    <x:row r="16" ht="21" customHeight="1">
      <x:c r="A16" s="2"/>
      <x:c r="B16" s="2"/>
      <x:c r="C16" s="2" t="str">
        <x:v>Monthly payment after IO</x:v>
      </x:c>
      <x:c r="D16" s="52" t="n">
        <x:f>IF(AND(ISNUMBER(D14),ISNUMBER(D10)),D14*D10,"n.a.")</x:f>
        <x:v>12153.72890425755</x:v>
      </x:c>
      <x:c r="E16" s="2"/>
      <x:c r="F16" s="2"/>
      <x:c r="G16" s="2"/>
      <x:c r="H16" s="2"/>
      <x:c r="I16" s="2"/>
      <x:c r="J16" s="2"/>
      <x:c r="K16" s="2"/>
      <x:c r="L16" s="2"/>
      <x:c r="M16" s="2"/>
      <x:c r="N16" s="2"/>
      <x:c r="O16" s="2"/>
      <x:c r="P16" s="2"/>
      <x:c r="Q16" s="2"/>
      <x:c r="R16" s="2"/>
    </x:row>
    <x:row r="17" ht="21" customHeight="1">
      <x:c r="A17" s="2"/>
      <x:c r="B17" s="2"/>
      <x:c r="C17" s="2" t="str">
        <x:v>Price, costs and both cash reserves</x:v>
      </x:c>
      <x:c r="D17" s="51" t="n">
        <x:f>IF(AND(ISNUMBER('Assumptions'!$D$13),ISNUMBER('Assumptions'!$D$16),ISNUMBER('Assumptions'!$D$19),ISNUMBER('Assumptions'!$D$22)),'Assumptions'!$D$13+'Assumptions'!$D$16+'Assumptions'!$D$19+'Assumptions'!$D$22,"n.a.")</x:f>
        <x:v>3120000</x:v>
      </x:c>
      <x:c r="E17" s="2"/>
      <x:c r="F17" s="2"/>
      <x:c r="G17" s="2" t="str">
        <x:v>Closing cash funds the operating account. A maturity within month12 is repaid in cash; later maturities are outside this cash horizon.</x:v>
      </x:c>
      <x:c r="H17" s="2"/>
      <x:c r="I17" s="2"/>
      <x:c r="J17" s="2"/>
      <x:c r="K17" s="2"/>
      <x:c r="L17" s="2"/>
      <x:c r="M17" s="2"/>
      <x:c r="N17" s="2"/>
      <x:c r="O17" s="2"/>
      <x:c r="P17" s="2"/>
      <x:c r="Q17" s="2"/>
      <x:c r="R17" s="2"/>
    </x:row>
    <x:row r="18" ht="21" customHeight="1">
      <x:c r="A18" s="2"/>
      <x:c r="B18" s="2"/>
      <x:c r="C18" s="2" t="str">
        <x:v>Closing equity / (excess loan proceeds)</x:v>
      </x:c>
      <x:c r="D18" s="52" t="n">
        <x:f>IF(AND(ISNUMBER(D17),ISNUMBER(D14)),D17-D14,"n.a.")</x:f>
        <x:v>1320000</x:v>
      </x:c>
      <x:c r="E18" s="2"/>
      <x:c r="F18" s="2"/>
      <x:c r="G18" s="2"/>
      <x:c r="H18" s="2"/>
      <x:c r="I18" s="2"/>
      <x:c r="J18" s="2"/>
      <x:c r="K18" s="2"/>
      <x:c r="L18" s="2"/>
      <x:c r="M18" s="2"/>
      <x:c r="N18" s="2"/>
      <x:c r="O18" s="2"/>
      <x:c r="P18" s="2"/>
      <x:c r="Q18" s="2"/>
      <x:c r="R18" s="2"/>
    </x:row>
    <x:row r="19" ht="21" customHeight="1">
      <x:c r="A19" s="2"/>
      <x:c r="B19" s="2"/>
      <x:c r="C19" s="2" t="str">
        <x:v>Available equity less closing need</x:v>
      </x:c>
      <x:c r="D19" s="51" t="n">
        <x:f>IF(AND(ISNUMBER('Assumptions'!$D$25),ISNUMBER(D18)),'Assumptions'!$D$25-D18,"n.a.")</x:f>
        <x:v>180000</x:v>
      </x:c>
      <x:c r="E19" s="2"/>
      <x:c r="F19" s="2"/>
      <x:c r="G19" s="2" t="str">
        <x:v>Negative closing equity means conditional excess loan proceeds; actual permitted disbursement or cash-out may differ.</x:v>
      </x:c>
      <x:c r="H19" s="2"/>
      <x:c r="I19" s="2"/>
      <x:c r="J19" s="2"/>
      <x:c r="K19" s="2"/>
      <x:c r="L19" s="2"/>
      <x:c r="M19" s="2"/>
      <x:c r="N19" s="2"/>
      <x:c r="O19" s="2"/>
      <x:c r="P19" s="2"/>
      <x:c r="Q19" s="2"/>
      <x:c r="R19" s="2"/>
    </x:row>
    <x:row r="20" ht="21" customHeight="1">
      <x:c r="A20" s="2"/>
      <x:c r="B20" s="2"/>
      <x:c r="C20" s="2" t="str">
        <x:v>Scheduled principal at maturity</x:v>
      </x:c>
      <x:c r="D20" s="51" t="n">
        <x:f>IF(AND(ISNUMBER('Assumptions'!$D$40),ISNUMBER('Assumptions'!$D$37),ISNUMBER('Assumptions'!$D$34),ISNUMBER(D14),ISNUMBER('Assumptions'!$D$31),ISNUMBER(D16)),IF(OR('Assumptions'!$D$40&lt;12,'Assumptions'!$D$40&gt;'Assumptions'!$D$37+'Assumptions'!$D$34*12),"n.a.",IF('Assumptions'!$D$40&lt;='Assumptions'!$D$37,D14,MAX(0,IF('Assumptions'!$D$31=0,D14-D16*('Assumptions'!$D$40-'Assumptions'!$D$37),D14*(1+'Assumptions'!$D$31/12)^('Assumptions'!$D$40-'Assumptions'!$D$37)-D16*((1+'Assumptions'!$D$31/12)^('Assumptions'!$D$40-'Assumptions'!$D$37)-1)/('Assumptions'!$D$31/12))))),"n.a.")</x:f>
        <x:v>1649689.7491266897</x:v>
      </x:c>
      <x:c r="E20" s="2"/>
      <x:c r="F20" s="2"/>
      <x:c r="G20" s="2"/>
      <x:c r="H20" s="2"/>
      <x:c r="I20" s="2"/>
      <x:c r="J20" s="2"/>
      <x:c r="K20" s="2"/>
      <x:c r="L20" s="2"/>
      <x:c r="M20" s="2"/>
      <x:c r="N20" s="2"/>
      <x:c r="O20" s="2"/>
      <x:c r="P20" s="2"/>
      <x:c r="Q20" s="2"/>
      <x:c r="R20" s="2"/>
    </x:row>
    <x:row r="21" ht="21" customHeight="1">
      <x:c r="A21" s="2"/>
      <x:c r="B21" s="2"/>
      <x:c r="C21" s="2"/>
      <x:c r="D21" s="2"/>
      <x:c r="E21" s="2"/>
      <x:c r="F21" s="2"/>
      <x:c r="G21" s="2"/>
      <x:c r="H21" s="2"/>
      <x:c r="I21" s="2"/>
      <x:c r="J21" s="2"/>
      <x:c r="K21" s="2"/>
      <x:c r="L21" s="2"/>
      <x:c r="M21" s="2"/>
      <x:c r="N21" s="2"/>
      <x:c r="O21" s="2"/>
      <x:c r="P21" s="2"/>
      <x:c r="Q21" s="2"/>
      <x:c r="R21" s="2"/>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30" customHeight="1">
      <x:c r="A28" s="2"/>
      <x:c r="B28" s="2"/>
      <x:c r="C28" s="2"/>
      <x:c r="D28" s="2"/>
      <x:c r="E28" s="2"/>
      <x:c r="F28" s="2"/>
      <x:c r="G28" s="46" t="n">
        <x:f>'Operations'!G9</x:f>
        <x:v>46388</x:v>
      </x:c>
      <x:c r="H28" s="46" t="n">
        <x:f>'Operations'!H9</x:f>
        <x:v>46419</x:v>
      </x:c>
      <x:c r="I28" s="46" t="n">
        <x:f>'Operations'!I9</x:f>
        <x:v>46447</x:v>
      </x:c>
      <x:c r="J28" s="46" t="n">
        <x:f>'Operations'!J9</x:f>
        <x:v>46478</x:v>
      </x:c>
      <x:c r="K28" s="46" t="n">
        <x:f>'Operations'!K9</x:f>
        <x:v>46508</x:v>
      </x:c>
      <x:c r="L28" s="46" t="n">
        <x:f>'Operations'!L9</x:f>
        <x:v>46539</x:v>
      </x:c>
      <x:c r="M28" s="46" t="n">
        <x:f>'Operations'!M9</x:f>
        <x:v>46569</x:v>
      </x:c>
      <x:c r="N28" s="46" t="n">
        <x:f>'Operations'!N9</x:f>
        <x:v>46600</x:v>
      </x:c>
      <x:c r="O28" s="46" t="n">
        <x:f>'Operations'!O9</x:f>
        <x:v>46631</x:v>
      </x:c>
      <x:c r="P28" s="46" t="n">
        <x:f>'Operations'!P9</x:f>
        <x:v>46661</x:v>
      </x:c>
      <x:c r="Q28" s="46" t="n">
        <x:f>'Operations'!Q9</x:f>
        <x:v>46692</x:v>
      </x:c>
      <x:c r="R28" s="46" t="n">
        <x:f>'Operations'!R9</x:f>
        <x:v>46722</x:v>
      </x:c>
    </x:row>
    <x:row r="29" ht="21" customHeight="1">
      <x:c r="A29" s="2"/>
      <x:c r="B29" s="2"/>
      <x:c r="C29" s="2" t="str">
        <x:v>Opening loan balance</x:v>
      </x:c>
      <x:c r="D29" s="2"/>
      <x:c r="E29" s="2"/>
      <x:c r="F29" s="2"/>
      <x:c r="G29" s="60" t="n">
        <x:f>IF(AND(ISNUMBER(D14)),D14,"n.a.")</x:f>
        <x:v>1800000</x:v>
      </x:c>
      <x:c r="H29" s="60" t="n">
        <x:f>IF(AND(ISNUMBER(G33)),G33,"n.a.")</x:f>
        <x:v>1800000</x:v>
      </x:c>
      <x:c r="I29" s="60" t="n">
        <x:f>IF(AND(ISNUMBER(H33)),H33,"n.a.")</x:f>
        <x:v>1800000</x:v>
      </x:c>
      <x:c r="J29" s="60" t="n">
        <x:f>IF(AND(ISNUMBER(I33)),I33,"n.a.")</x:f>
        <x:v>1800000</x:v>
      </x:c>
      <x:c r="K29" s="60" t="n">
        <x:f>IF(AND(ISNUMBER(J33)),J33,"n.a.")</x:f>
        <x:v>1800000</x:v>
      </x:c>
      <x:c r="L29" s="60" t="n">
        <x:f>IF(AND(ISNUMBER(K33)),K33,"n.a.")</x:f>
        <x:v>1800000</x:v>
      </x:c>
      <x:c r="M29" s="60" t="n">
        <x:f>IF(AND(ISNUMBER(L33)),L33,"n.a.")</x:f>
        <x:v>1800000</x:v>
      </x:c>
      <x:c r="N29" s="60" t="n">
        <x:f>IF(AND(ISNUMBER(M33)),M33,"n.a.")</x:f>
        <x:v>1797596.2710957425</x:v>
      </x:c>
      <x:c r="O29" s="60" t="n">
        <x:f>IF(AND(ISNUMBER(N33)),N33,"n.a.")</x:f>
        <x:v>1795179.5219932536</x:v>
      </x:c>
      <x:c r="P29" s="60" t="n">
        <x:f>IF(AND(ISNUMBER(O33)),O33,"n.a.")</x:f>
        <x:v>1792749.6821664595</x:v>
      </x:c>
      <x:c r="Q29" s="60" t="n">
        <x:f>IF(AND(ISNUMBER(P33)),P33,"n.a.")</x:f>
        <x:v>1790306.6807072703</x:v>
      </x:c>
      <x:c r="R29" s="60" t="n">
        <x:f>IF(AND(ISNUMBER(Q33)),Q33,"n.a.")</x:f>
        <x:v>1787850.4463235105</x:v>
      </x:c>
    </x:row>
    <x:row r="30" ht="21" customHeight="1">
      <x:c r="A30" s="2"/>
      <x:c r="B30" s="2"/>
      <x:c r="C30" s="2" t="str">
        <x:v>Monthly interest</x:v>
      </x:c>
      <x:c r="D30" s="2"/>
      <x:c r="E30" s="2"/>
      <x:c r="F30" s="2"/>
      <x:c r="G30" s="61" t="n">
        <x:f>IF(AND(ISNUMBER(G29),ISNUMBER('Assumptions'!$D$31)),G29*'Assumptions'!$D$31/12,"n.a.")</x:f>
        <x:v>9750</x:v>
      </x:c>
      <x:c r="H30" s="61" t="n">
        <x:f>IF(AND(ISNUMBER(H29),ISNUMBER('Assumptions'!$D$31)),H29*'Assumptions'!$D$31/12,"n.a.")</x:f>
        <x:v>9750</x:v>
      </x:c>
      <x:c r="I30" s="61" t="n">
        <x:f>IF(AND(ISNUMBER(I29),ISNUMBER('Assumptions'!$D$31)),I29*'Assumptions'!$D$31/12,"n.a.")</x:f>
        <x:v>9750</x:v>
      </x:c>
      <x:c r="J30" s="61" t="n">
        <x:f>IF(AND(ISNUMBER(J29),ISNUMBER('Assumptions'!$D$31)),J29*'Assumptions'!$D$31/12,"n.a.")</x:f>
        <x:v>9750</x:v>
      </x:c>
      <x:c r="K30" s="61" t="n">
        <x:f>IF(AND(ISNUMBER(K29),ISNUMBER('Assumptions'!$D$31)),K29*'Assumptions'!$D$31/12,"n.a.")</x:f>
        <x:v>9750</x:v>
      </x:c>
      <x:c r="L30" s="61" t="n">
        <x:f>IF(AND(ISNUMBER(L29),ISNUMBER('Assumptions'!$D$31)),L29*'Assumptions'!$D$31/12,"n.a.")</x:f>
        <x:v>9750</x:v>
      </x:c>
      <x:c r="M30" s="61" t="n">
        <x:f>IF(AND(ISNUMBER(M29),ISNUMBER('Assumptions'!$D$31)),M29*'Assumptions'!$D$31/12,"n.a.")</x:f>
        <x:v>9750</x:v>
      </x:c>
      <x:c r="N30" s="61" t="n">
        <x:f>IF(AND(ISNUMBER(N29),ISNUMBER('Assumptions'!$D$31)),N29*'Assumptions'!$D$31/12,"n.a.")</x:f>
        <x:v>9736.979801768606</x:v>
      </x:c>
      <x:c r="O30" s="61" t="n">
        <x:f>IF(AND(ISNUMBER(O29),ISNUMBER('Assumptions'!$D$31)),O29*'Assumptions'!$D$31/12,"n.a.")</x:f>
        <x:v>9723.889077463458</x:v>
      </x:c>
      <x:c r="P30" s="61" t="n">
        <x:f>IF(AND(ISNUMBER(P29),ISNUMBER('Assumptions'!$D$31)),P29*'Assumptions'!$D$31/12,"n.a.")</x:f>
        <x:v>9710.727445068324</x:v>
      </x:c>
      <x:c r="Q30" s="61" t="n">
        <x:f>IF(AND(ISNUMBER(Q29),ISNUMBER('Assumptions'!$D$31)),Q29*'Assumptions'!$D$31/12,"n.a.")</x:f>
        <x:v>9697.494520497714</x:v>
      </x:c>
      <x:c r="R30" s="61" t="n">
        <x:f>IF(AND(ISNUMBER(R29),ISNUMBER('Assumptions'!$D$31)),R29*'Assumptions'!$D$31/12,"n.a.")</x:f>
        <x:v>9684.189917585683</x:v>
      </x:c>
    </x:row>
    <x:row r="31" ht="21" customHeight="1">
      <x:c r="A31" s="2"/>
      <x:c r="B31" s="2"/>
      <x:c r="C31" s="2" t="str">
        <x:v>Scheduled payment</x:v>
      </x:c>
      <x:c r="D31" s="2"/>
      <x:c r="E31" s="2"/>
      <x:c r="F31" s="2"/>
      <x:c r="G31" s="61" t="n">
        <x:f>IF(AND(ISNUMBER('Assumptions'!$D$37),ISNUMBER(G30),ISNUMBER(G29),ISNUMBER(D16)),IF(1&lt;='Assumptions'!$D$37,G30,MIN(G29+G30,D16)),"n.a.")</x:f>
        <x:v>9750</x:v>
      </x:c>
      <x:c r="H31" s="61" t="n">
        <x:f>IF(AND(ISNUMBER('Assumptions'!$D$37),ISNUMBER(H30),ISNUMBER(H29),ISNUMBER(D16)),IF(2&lt;='Assumptions'!$D$37,H30,MIN(H29+H30,D16)),"n.a.")</x:f>
        <x:v>9750</x:v>
      </x:c>
      <x:c r="I31" s="61" t="n">
        <x:f>IF(AND(ISNUMBER('Assumptions'!$D$37),ISNUMBER(I30),ISNUMBER(I29),ISNUMBER(D16)),IF(3&lt;='Assumptions'!$D$37,I30,MIN(I29+I30,D16)),"n.a.")</x:f>
        <x:v>9750</x:v>
      </x:c>
      <x:c r="J31" s="61" t="n">
        <x:f>IF(AND(ISNUMBER('Assumptions'!$D$37),ISNUMBER(J30),ISNUMBER(J29),ISNUMBER(D16)),IF(4&lt;='Assumptions'!$D$37,J30,MIN(J29+J30,D16)),"n.a.")</x:f>
        <x:v>9750</x:v>
      </x:c>
      <x:c r="K31" s="61" t="n">
        <x:f>IF(AND(ISNUMBER('Assumptions'!$D$37),ISNUMBER(K30),ISNUMBER(K29),ISNUMBER(D16)),IF(5&lt;='Assumptions'!$D$37,K30,MIN(K29+K30,D16)),"n.a.")</x:f>
        <x:v>9750</x:v>
      </x:c>
      <x:c r="L31" s="61" t="n">
        <x:f>IF(AND(ISNUMBER('Assumptions'!$D$37),ISNUMBER(L30),ISNUMBER(L29),ISNUMBER(D16)),IF(6&lt;='Assumptions'!$D$37,L30,MIN(L29+L30,D16)),"n.a.")</x:f>
        <x:v>9750</x:v>
      </x:c>
      <x:c r="M31" s="61" t="n">
        <x:f>IF(AND(ISNUMBER('Assumptions'!$D$37),ISNUMBER(M30),ISNUMBER(M29),ISNUMBER(D16)),IF(7&lt;='Assumptions'!$D$37,M30,MIN(M29+M30,D16)),"n.a.")</x:f>
        <x:v>12153.72890425755</x:v>
      </x:c>
      <x:c r="N31" s="61" t="n">
        <x:f>IF(AND(ISNUMBER('Assumptions'!$D$37),ISNUMBER(N30),ISNUMBER(N29),ISNUMBER(D16)),IF(8&lt;='Assumptions'!$D$37,N30,MIN(N29+N30,D16)),"n.a.")</x:f>
        <x:v>12153.72890425755</x:v>
      </x:c>
      <x:c r="O31" s="61" t="n">
        <x:f>IF(AND(ISNUMBER('Assumptions'!$D$37),ISNUMBER(O30),ISNUMBER(O29),ISNUMBER(D16)),IF(9&lt;='Assumptions'!$D$37,O30,MIN(O29+O30,D16)),"n.a.")</x:f>
        <x:v>12153.72890425755</x:v>
      </x:c>
      <x:c r="P31" s="61" t="n">
        <x:f>IF(AND(ISNUMBER('Assumptions'!$D$37),ISNUMBER(P30),ISNUMBER(P29),ISNUMBER(D16)),IF(10&lt;='Assumptions'!$D$37,P30,MIN(P29+P30,D16)),"n.a.")</x:f>
        <x:v>12153.72890425755</x:v>
      </x:c>
      <x:c r="Q31" s="61" t="n">
        <x:f>IF(AND(ISNUMBER('Assumptions'!$D$37),ISNUMBER(Q30),ISNUMBER(Q29),ISNUMBER(D16)),IF(11&lt;='Assumptions'!$D$37,Q30,MIN(Q29+Q30,D16)),"n.a.")</x:f>
        <x:v>12153.72890425755</x:v>
      </x:c>
      <x:c r="R31" s="61" t="n">
        <x:f>IF(AND(ISNUMBER('Assumptions'!$D$37),ISNUMBER(R30),ISNUMBER(R29),ISNUMBER(D16)),IF(12&lt;='Assumptions'!$D$37,R30,MIN(R29+R30,D16)),"n.a.")</x:f>
        <x:v>12153.72890425755</x:v>
      </x:c>
    </x:row>
    <x:row r="32" ht="21" customHeight="1">
      <x:c r="A32" s="2"/>
      <x:c r="B32" s="2"/>
      <x:c r="C32" s="2" t="str">
        <x:v>Scheduled principal</x:v>
      </x:c>
      <x:c r="D32" s="2"/>
      <x:c r="E32" s="2"/>
      <x:c r="F32" s="2"/>
      <x:c r="G32" s="60" t="n">
        <x:f>IF(AND(ISNUMBER(G31),ISNUMBER(G30)),G31-G30,"n.a.")</x:f>
        <x:v>0</x:v>
      </x:c>
      <x:c r="H32" s="60" t="n">
        <x:f>IF(AND(ISNUMBER(H31),ISNUMBER(H30)),H31-H30,"n.a.")</x:f>
        <x:v>0</x:v>
      </x:c>
      <x:c r="I32" s="60" t="n">
        <x:f>IF(AND(ISNUMBER(I31),ISNUMBER(I30)),I31-I30,"n.a.")</x:f>
        <x:v>0</x:v>
      </x:c>
      <x:c r="J32" s="60" t="n">
        <x:f>IF(AND(ISNUMBER(J31),ISNUMBER(J30)),J31-J30,"n.a.")</x:f>
        <x:v>0</x:v>
      </x:c>
      <x:c r="K32" s="60" t="n">
        <x:f>IF(AND(ISNUMBER(K31),ISNUMBER(K30)),K31-K30,"n.a.")</x:f>
        <x:v>0</x:v>
      </x:c>
      <x:c r="L32" s="60" t="n">
        <x:f>IF(AND(ISNUMBER(L31),ISNUMBER(L30)),L31-L30,"n.a.")</x:f>
        <x:v>0</x:v>
      </x:c>
      <x:c r="M32" s="60" t="n">
        <x:f>IF(AND(ISNUMBER(M31),ISNUMBER(M30)),M31-M30,"n.a.")</x:f>
        <x:v>2403.7289042575503</x:v>
      </x:c>
      <x:c r="N32" s="60" t="n">
        <x:f>IF(AND(ISNUMBER(N31),ISNUMBER(N30)),N31-N30,"n.a.")</x:f>
        <x:v>2416.749102488944</x:v>
      </x:c>
      <x:c r="O32" s="60" t="n">
        <x:f>IF(AND(ISNUMBER(O31),ISNUMBER(O30)),O31-O30,"n.a.")</x:f>
        <x:v>2429.839826794092</x:v>
      </x:c>
      <x:c r="P32" s="60" t="n">
        <x:f>IF(AND(ISNUMBER(P31),ISNUMBER(P30)),P31-P30,"n.a.")</x:f>
        <x:v>2443.001459189227</x:v>
      </x:c>
      <x:c r="Q32" s="60" t="n">
        <x:f>IF(AND(ISNUMBER(Q31),ISNUMBER(Q30)),Q31-Q30,"n.a.")</x:f>
        <x:v>2456.2343837598364</x:v>
      </x:c>
      <x:c r="R32" s="60" t="n">
        <x:f>IF(AND(ISNUMBER(R31),ISNUMBER(R30)),R31-R30,"n.a.")</x:f>
        <x:v>2469.538986671867</x:v>
      </x:c>
    </x:row>
    <x:row r="33" ht="21" customHeight="1">
      <x:c r="A33" s="2"/>
      <x:c r="B33" s="2"/>
      <x:c r="C33" s="2" t="str">
        <x:v>Ending loan balance</x:v>
      </x:c>
      <x:c r="D33" s="2"/>
      <x:c r="E33" s="2"/>
      <x:c r="F33" s="2"/>
      <x:c r="G33" s="60" t="n">
        <x:f>IF(AND(ISNUMBER(G29),ISNUMBER(G32),ISNUMBER(G38)),G29-G32-G38,"n.a.")</x:f>
        <x:v>1800000</x:v>
      </x:c>
      <x:c r="H33" s="60" t="n">
        <x:f>IF(AND(ISNUMBER(H29),ISNUMBER(H32),ISNUMBER(H38)),H29-H32-H38,"n.a.")</x:f>
        <x:v>1800000</x:v>
      </x:c>
      <x:c r="I33" s="60" t="n">
        <x:f>IF(AND(ISNUMBER(I29),ISNUMBER(I32),ISNUMBER(I38)),I29-I32-I38,"n.a.")</x:f>
        <x:v>1800000</x:v>
      </x:c>
      <x:c r="J33" s="60" t="n">
        <x:f>IF(AND(ISNUMBER(J29),ISNUMBER(J32),ISNUMBER(J38)),J29-J32-J38,"n.a.")</x:f>
        <x:v>1800000</x:v>
      </x:c>
      <x:c r="K33" s="60" t="n">
        <x:f>IF(AND(ISNUMBER(K29),ISNUMBER(K32),ISNUMBER(K38)),K29-K32-K38,"n.a.")</x:f>
        <x:v>1800000</x:v>
      </x:c>
      <x:c r="L33" s="60" t="n">
        <x:f>IF(AND(ISNUMBER(L29),ISNUMBER(L32),ISNUMBER(L38)),L29-L32-L38,"n.a.")</x:f>
        <x:v>1800000</x:v>
      </x:c>
      <x:c r="M33" s="60" t="n">
        <x:f>IF(AND(ISNUMBER(M29),ISNUMBER(M32),ISNUMBER(M38)),M29-M32-M38,"n.a.")</x:f>
        <x:v>1797596.2710957425</x:v>
      </x:c>
      <x:c r="N33" s="60" t="n">
        <x:f>IF(AND(ISNUMBER(N29),ISNUMBER(N32),ISNUMBER(N38)),N29-N32-N38,"n.a.")</x:f>
        <x:v>1795179.5219932536</x:v>
      </x:c>
      <x:c r="O33" s="60" t="n">
        <x:f>IF(AND(ISNUMBER(O29),ISNUMBER(O32),ISNUMBER(O38)),O29-O32-O38,"n.a.")</x:f>
        <x:v>1792749.6821664595</x:v>
      </x:c>
      <x:c r="P33" s="60" t="n">
        <x:f>IF(AND(ISNUMBER(P29),ISNUMBER(P32),ISNUMBER(P38)),P29-P32-P38,"n.a.")</x:f>
        <x:v>1790306.6807072703</x:v>
      </x:c>
      <x:c r="Q33" s="60" t="n">
        <x:f>IF(AND(ISNUMBER(Q29),ISNUMBER(Q32),ISNUMBER(Q38)),Q29-Q32-Q38,"n.a.")</x:f>
        <x:v>1787850.4463235105</x:v>
      </x:c>
      <x:c r="R33" s="60" t="n">
        <x:f>IF(AND(ISNUMBER(R29),ISNUMBER(R32),ISNUMBER(R38)),R29-R32-R38,"n.a.")</x:f>
        <x:v>1785380.9073368385</x:v>
      </x:c>
    </x:row>
    <x:row r="34" ht="21" customHeight="1">
      <x:c r="A34" s="2"/>
      <x:c r="B34" s="2"/>
      <x:c r="C34" s="2" t="str">
        <x:v>Operating cash NCF</x:v>
      </x:c>
      <x:c r="D34" s="2"/>
      <x:c r="E34" s="2"/>
      <x:c r="F34" s="2"/>
      <x:c r="G34" s="61" t="n">
        <x:f>IF(AND(ISNUMBER('Operations'!G31)),'Operations'!G31,"n.a.")</x:f>
        <x:v>34500</x:v>
      </x:c>
      <x:c r="H34" s="61" t="n">
        <x:f>IF(AND(ISNUMBER('Operations'!H31)),'Operations'!H31,"n.a.")</x:f>
        <x:v>34500</x:v>
      </x:c>
      <x:c r="I34" s="61" t="n">
        <x:f>IF(AND(ISNUMBER('Operations'!I31)),'Operations'!I31,"n.a.")</x:f>
        <x:v>34500</x:v>
      </x:c>
      <x:c r="J34" s="61" t="n">
        <x:f>IF(AND(ISNUMBER('Operations'!J31)),'Operations'!J31,"n.a.")</x:f>
        <x:v>34500</x:v>
      </x:c>
      <x:c r="K34" s="61" t="n">
        <x:f>IF(AND(ISNUMBER('Operations'!K31)),'Operations'!K31,"n.a.")</x:f>
        <x:v>34500</x:v>
      </x:c>
      <x:c r="L34" s="61" t="n">
        <x:f>IF(AND(ISNUMBER('Operations'!L31)),'Operations'!L31,"n.a.")</x:f>
        <x:v>34500</x:v>
      </x:c>
      <x:c r="M34" s="61" t="n">
        <x:f>IF(AND(ISNUMBER('Operations'!M31)),'Operations'!M31,"n.a.")</x:f>
        <x:v>34500</x:v>
      </x:c>
      <x:c r="N34" s="61" t="n">
        <x:f>IF(AND(ISNUMBER('Operations'!N31)),'Operations'!N31,"n.a.")</x:f>
        <x:v>34500</x:v>
      </x:c>
      <x:c r="O34" s="61" t="n">
        <x:f>IF(AND(ISNUMBER('Operations'!O31)),'Operations'!O31,"n.a.")</x:f>
        <x:v>34500</x:v>
      </x:c>
      <x:c r="P34" s="61" t="n">
        <x:f>IF(AND(ISNUMBER('Operations'!P31)),'Operations'!P31,"n.a.")</x:f>
        <x:v>34500</x:v>
      </x:c>
      <x:c r="Q34" s="61" t="n">
        <x:f>IF(AND(ISNUMBER('Operations'!Q31)),'Operations'!Q31,"n.a.")</x:f>
        <x:v>34500</x:v>
      </x:c>
      <x:c r="R34" s="61" t="n">
        <x:f>IF(AND(ISNUMBER('Operations'!R31)),'Operations'!R31,"n.a.")</x:f>
        <x:v>34500</x:v>
      </x:c>
    </x:row>
    <x:row r="35" ht="21" customHeight="1">
      <x:c r="A35" s="2"/>
      <x:c r="B35" s="2"/>
      <x:c r="C35" s="2" t="str">
        <x:v>Capital-work cash</x:v>
      </x:c>
      <x:c r="D35" s="2"/>
      <x:c r="E35" s="2"/>
      <x:c r="F35" s="2"/>
      <x:c r="G35" s="61" t="n">
        <x:f>IF(AND(ISNUMBER('Operations'!G26)),'Operations'!G26,"n.a.")</x:f>
        <x:v>0</x:v>
      </x:c>
      <x:c r="H35" s="61" t="n">
        <x:f>IF(AND(ISNUMBER('Operations'!H26)),'Operations'!H26,"n.a.")</x:f>
        <x:v>0</x:v>
      </x:c>
      <x:c r="I35" s="61" t="n">
        <x:f>IF(AND(ISNUMBER('Operations'!I26)),'Operations'!I26,"n.a.")</x:f>
        <x:v>0</x:v>
      </x:c>
      <x:c r="J35" s="61" t="n">
        <x:f>IF(AND(ISNUMBER('Operations'!J26)),'Operations'!J26,"n.a.")</x:f>
        <x:v>0</x:v>
      </x:c>
      <x:c r="K35" s="61" t="n">
        <x:f>IF(AND(ISNUMBER('Operations'!K26)),'Operations'!K26,"n.a.")</x:f>
        <x:v>75000</x:v>
      </x:c>
      <x:c r="L35" s="61" t="n">
        <x:f>IF(AND(ISNUMBER('Operations'!L26)),'Operations'!L26,"n.a.")</x:f>
        <x:v>0</x:v>
      </x:c>
      <x:c r="M35" s="61" t="n">
        <x:f>IF(AND(ISNUMBER('Operations'!M26)),'Operations'!M26,"n.a.")</x:f>
        <x:v>0</x:v>
      </x:c>
      <x:c r="N35" s="61" t="n">
        <x:f>IF(AND(ISNUMBER('Operations'!N26)),'Operations'!N26,"n.a.")</x:f>
        <x:v>0</x:v>
      </x:c>
      <x:c r="O35" s="61" t="n">
        <x:f>IF(AND(ISNUMBER('Operations'!O26)),'Operations'!O26,"n.a.")</x:f>
        <x:v>0</x:v>
      </x:c>
      <x:c r="P35" s="61" t="n">
        <x:f>IF(AND(ISNUMBER('Operations'!P26)),'Operations'!P26,"n.a.")</x:f>
        <x:v>0</x:v>
      </x:c>
      <x:c r="Q35" s="61" t="n">
        <x:f>IF(AND(ISNUMBER('Operations'!Q26)),'Operations'!Q26,"n.a.")</x:f>
        <x:v>0</x:v>
      </x:c>
      <x:c r="R35" s="61" t="n">
        <x:f>IF(AND(ISNUMBER('Operations'!R26)),'Operations'!R26,"n.a.")</x:f>
        <x:v>0</x:v>
      </x:c>
    </x:row>
    <x:row r="36" ht="21" customHeight="1">
      <x:c r="A36" s="2"/>
      <x:c r="B36" s="2"/>
      <x:c r="C36" s="2" t="str">
        <x:v>Cash after debt and capital</x:v>
      </x:c>
      <x:c r="D36" s="2"/>
      <x:c r="E36" s="2"/>
      <x:c r="F36" s="2"/>
      <x:c r="G36" s="60" t="n">
        <x:f>IF(AND(ISNUMBER(G34),ISNUMBER(G31),ISNUMBER(G35),ISNUMBER(G38)),G34-G31-G35-G38,"n.a.")</x:f>
        <x:v>24750</x:v>
      </x:c>
      <x:c r="H36" s="60" t="n">
        <x:f>IF(AND(ISNUMBER(H34),ISNUMBER(H31),ISNUMBER(H35),ISNUMBER(H38)),H34-H31-H35-H38,"n.a.")</x:f>
        <x:v>24750</x:v>
      </x:c>
      <x:c r="I36" s="60" t="n">
        <x:f>IF(AND(ISNUMBER(I34),ISNUMBER(I31),ISNUMBER(I35),ISNUMBER(I38)),I34-I31-I35-I38,"n.a.")</x:f>
        <x:v>24750</x:v>
      </x:c>
      <x:c r="J36" s="60" t="n">
        <x:f>IF(AND(ISNUMBER(J34),ISNUMBER(J31),ISNUMBER(J35),ISNUMBER(J38)),J34-J31-J35-J38,"n.a.")</x:f>
        <x:v>24750</x:v>
      </x:c>
      <x:c r="K36" s="60" t="n">
        <x:f>IF(AND(ISNUMBER(K34),ISNUMBER(K31),ISNUMBER(K35),ISNUMBER(K38)),K34-K31-K35-K38,"n.a.")</x:f>
        <x:v>-50250</x:v>
      </x:c>
      <x:c r="L36" s="60" t="n">
        <x:f>IF(AND(ISNUMBER(L34),ISNUMBER(L31),ISNUMBER(L35),ISNUMBER(L38)),L34-L31-L35-L38,"n.a.")</x:f>
        <x:v>24750</x:v>
      </x:c>
      <x:c r="M36" s="60" t="n">
        <x:f>IF(AND(ISNUMBER(M34),ISNUMBER(M31),ISNUMBER(M35),ISNUMBER(M38)),M34-M31-M35-M38,"n.a.")</x:f>
        <x:v>22346.27109574245</x:v>
      </x:c>
      <x:c r="N36" s="60" t="n">
        <x:f>IF(AND(ISNUMBER(N34),ISNUMBER(N31),ISNUMBER(N35),ISNUMBER(N38)),N34-N31-N35-N38,"n.a.")</x:f>
        <x:v>22346.27109574245</x:v>
      </x:c>
      <x:c r="O36" s="60" t="n">
        <x:f>IF(AND(ISNUMBER(O34),ISNUMBER(O31),ISNUMBER(O35),ISNUMBER(O38)),O34-O31-O35-O38,"n.a.")</x:f>
        <x:v>22346.27109574245</x:v>
      </x:c>
      <x:c r="P36" s="60" t="n">
        <x:f>IF(AND(ISNUMBER(P34),ISNUMBER(P31),ISNUMBER(P35),ISNUMBER(P38)),P34-P31-P35-P38,"n.a.")</x:f>
        <x:v>22346.27109574245</x:v>
      </x:c>
      <x:c r="Q36" s="60" t="n">
        <x:f>IF(AND(ISNUMBER(Q34),ISNUMBER(Q31),ISNUMBER(Q35),ISNUMBER(Q38)),Q34-Q31-Q35-Q38,"n.a.")</x:f>
        <x:v>22346.27109574245</x:v>
      </x:c>
      <x:c r="R36" s="60" t="n">
        <x:f>IF(AND(ISNUMBER(R34),ISNUMBER(R31),ISNUMBER(R35),ISNUMBER(R38)),R34-R31-R35-R38,"n.a.")</x:f>
        <x:v>22346.27109574245</x:v>
      </x:c>
    </x:row>
    <x:row r="37" ht="21" customHeight="1">
      <x:c r="A37" s="2"/>
      <x:c r="B37" s="2"/>
      <x:c r="C37" s="2" t="str">
        <x:v>Ending operating cash</x:v>
      </x:c>
      <x:c r="D37" s="2"/>
      <x:c r="E37" s="2"/>
      <x:c r="F37" s="2"/>
      <x:c r="G37" s="61" t="n">
        <x:f>IF(AND(ISNUMBER('Assumptions'!$D$22),ISNUMBER(G36)),'Assumptions'!$D$22+G36,"n.a.")</x:f>
        <x:v>204750</x:v>
      </x:c>
      <x:c r="H37" s="60" t="n">
        <x:f>IF(AND(ISNUMBER(G37),ISNUMBER(H36)),G37+H36,"n.a.")</x:f>
        <x:v>229500</x:v>
      </x:c>
      <x:c r="I37" s="60" t="n">
        <x:f>IF(AND(ISNUMBER(H37),ISNUMBER(I36)),H37+I36,"n.a.")</x:f>
        <x:v>254250</x:v>
      </x:c>
      <x:c r="J37" s="60" t="n">
        <x:f>IF(AND(ISNUMBER(I37),ISNUMBER(J36)),I37+J36,"n.a.")</x:f>
        <x:v>279000</x:v>
      </x:c>
      <x:c r="K37" s="60" t="n">
        <x:f>IF(AND(ISNUMBER(J37),ISNUMBER(K36)),J37+K36,"n.a.")</x:f>
        <x:v>228750</x:v>
      </x:c>
      <x:c r="L37" s="60" t="n">
        <x:f>IF(AND(ISNUMBER(K37),ISNUMBER(L36)),K37+L36,"n.a.")</x:f>
        <x:v>253500</x:v>
      </x:c>
      <x:c r="M37" s="60" t="n">
        <x:f>IF(AND(ISNUMBER(L37),ISNUMBER(M36)),L37+M36,"n.a.")</x:f>
        <x:v>275846.2710957425</x:v>
      </x:c>
      <x:c r="N37" s="60" t="n">
        <x:f>IF(AND(ISNUMBER(M37),ISNUMBER(N36)),M37+N36,"n.a.")</x:f>
        <x:v>298192.54219148494</x:v>
      </x:c>
      <x:c r="O37" s="60" t="n">
        <x:f>IF(AND(ISNUMBER(N37),ISNUMBER(O36)),N37+O36,"n.a.")</x:f>
        <x:v>320538.8132872274</x:v>
      </x:c>
      <x:c r="P37" s="60" t="n">
        <x:f>IF(AND(ISNUMBER(O37),ISNUMBER(P36)),O37+P36,"n.a.")</x:f>
        <x:v>342885.0843829699</x:v>
      </x:c>
      <x:c r="Q37" s="60" t="n">
        <x:f>IF(AND(ISNUMBER(P37),ISNUMBER(Q36)),P37+Q36,"n.a.")</x:f>
        <x:v>365231.35547871236</x:v>
      </x:c>
      <x:c r="R37" s="60" t="n">
        <x:f>IF(AND(ISNUMBER(Q37),ISNUMBER(R36)),Q37+R36,"n.a.")</x:f>
        <x:v>387577.6265744548</x:v>
      </x:c>
    </x:row>
    <x:row r="38" ht="21" customHeight="1">
      <x:c r="A38" s="2"/>
      <x:c r="B38" s="2"/>
      <x:c r="C38" s="2" t="str">
        <x:v>Maturity principal cash repayment</x:v>
      </x:c>
      <x:c r="D38" s="2"/>
      <x:c r="E38" s="2"/>
      <x:c r="F38" s="2"/>
      <x:c r="G38" s="61" t="n">
        <x:f>IF(AND(ISNUMBER('Assumptions'!$D$40),ISNUMBER(G29),ISNUMBER(G32)),IF(1='Assumptions'!$D$40,G29-G32,0),"n.a.")</x:f>
        <x:v>0</x:v>
      </x:c>
      <x:c r="H38" s="61" t="n">
        <x:f>IF(AND(ISNUMBER('Assumptions'!$D$40),ISNUMBER(H29),ISNUMBER(H32)),IF(2='Assumptions'!$D$40,H29-H32,0),"n.a.")</x:f>
        <x:v>0</x:v>
      </x:c>
      <x:c r="I38" s="61" t="n">
        <x:f>IF(AND(ISNUMBER('Assumptions'!$D$40),ISNUMBER(I29),ISNUMBER(I32)),IF(3='Assumptions'!$D$40,I29-I32,0),"n.a.")</x:f>
        <x:v>0</x:v>
      </x:c>
      <x:c r="J38" s="61" t="n">
        <x:f>IF(AND(ISNUMBER('Assumptions'!$D$40),ISNUMBER(J29),ISNUMBER(J32)),IF(4='Assumptions'!$D$40,J29-J32,0),"n.a.")</x:f>
        <x:v>0</x:v>
      </x:c>
      <x:c r="K38" s="61" t="n">
        <x:f>IF(AND(ISNUMBER('Assumptions'!$D$40),ISNUMBER(K29),ISNUMBER(K32)),IF(5='Assumptions'!$D$40,K29-K32,0),"n.a.")</x:f>
        <x:v>0</x:v>
      </x:c>
      <x:c r="L38" s="61" t="n">
        <x:f>IF(AND(ISNUMBER('Assumptions'!$D$40),ISNUMBER(L29),ISNUMBER(L32)),IF(6='Assumptions'!$D$40,L29-L32,0),"n.a.")</x:f>
        <x:v>0</x:v>
      </x:c>
      <x:c r="M38" s="61" t="n">
        <x:f>IF(AND(ISNUMBER('Assumptions'!$D$40),ISNUMBER(M29),ISNUMBER(M32)),IF(7='Assumptions'!$D$40,M29-M32,0),"n.a.")</x:f>
        <x:v>0</x:v>
      </x:c>
      <x:c r="N38" s="61" t="n">
        <x:f>IF(AND(ISNUMBER('Assumptions'!$D$40),ISNUMBER(N29),ISNUMBER(N32)),IF(8='Assumptions'!$D$40,N29-N32,0),"n.a.")</x:f>
        <x:v>0</x:v>
      </x:c>
      <x:c r="O38" s="61" t="n">
        <x:f>IF(AND(ISNUMBER('Assumptions'!$D$40),ISNUMBER(O29),ISNUMBER(O32)),IF(9='Assumptions'!$D$40,O29-O32,0),"n.a.")</x:f>
        <x:v>0</x:v>
      </x:c>
      <x:c r="P38" s="61" t="n">
        <x:f>IF(AND(ISNUMBER('Assumptions'!$D$40),ISNUMBER(P29),ISNUMBER(P32)),IF(10='Assumptions'!$D$40,P29-P32,0),"n.a.")</x:f>
        <x:v>0</x:v>
      </x:c>
      <x:c r="Q38" s="61" t="n">
        <x:f>IF(AND(ISNUMBER('Assumptions'!$D$40),ISNUMBER(Q29),ISNUMBER(Q32)),IF(11='Assumptions'!$D$40,Q29-Q32,0),"n.a.")</x:f>
        <x:v>0</x:v>
      </x:c>
      <x:c r="R38" s="61" t="n">
        <x:f>IF(AND(ISNUMBER('Assumptions'!$D$40),ISNUMBER(R29),ISNUMBER(R32)),IF(12='Assumptions'!$D$40,R29-R32,0),"n.a.")</x:f>
        <x:v>0</x:v>
      </x:c>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t="str">
        <x:v>First-year scheduled debt service</x:v>
      </x:c>
      <x:c r="D43" s="52" t="n">
        <x:f>IF(AND(ISNUMBER(G31),ISNUMBER(R31)),IF(COUNT(G31:R31)=12,SUM(G31:R31),"n.a."),"n.a.")</x:f>
        <x:v>131422.37342554535</x:v>
      </x:c>
      <x:c r="E43" s="2"/>
      <x:c r="F43" s="2"/>
      <x:c r="G43" s="2"/>
      <x:c r="H43" s="2"/>
      <x:c r="I43" s="2"/>
      <x:c r="J43" s="2"/>
      <x:c r="K43" s="2"/>
      <x:c r="L43" s="2"/>
      <x:c r="M43" s="2"/>
      <x:c r="N43" s="2"/>
      <x:c r="O43" s="2"/>
      <x:c r="P43" s="2"/>
      <x:c r="Q43" s="2"/>
      <x:c r="R43" s="2"/>
    </x:row>
    <x:row r="44" ht="21" customHeight="1">
      <x:c r="A44" s="2"/>
      <x:c r="B44" s="2"/>
      <x:c r="C44" s="2" t="str">
        <x:v>Underwritten NCF / actual year-one DS</x:v>
      </x:c>
      <x:c r="D44" s="62" t="n">
        <x:f>IF(AND(ISNUMBER(D43),ISNUMBER(D9)),IF(D43=0,"n.a.",D9/D43),"n.a.")</x:f>
        <x:v>3.150148556969588</x:v>
      </x:c>
      <x:c r="E44" s="2"/>
      <x:c r="F44" s="2"/>
      <x:c r="G44" s="2"/>
      <x:c r="H44" s="2"/>
      <x:c r="I44" s="2"/>
      <x:c r="J44" s="2"/>
      <x:c r="K44" s="2"/>
      <x:c r="L44" s="2"/>
      <x:c r="M44" s="2"/>
      <x:c r="N44" s="2"/>
      <x:c r="O44" s="2"/>
      <x:c r="P44" s="2"/>
      <x:c r="Q44" s="2"/>
      <x:c r="R44" s="2"/>
    </x:row>
    <x:row r="45" ht="21" customHeight="1">
      <x:c r="A45" s="2"/>
      <x:c r="B45" s="2"/>
      <x:c r="C45" s="2" t="str">
        <x:v>Year-end scheduled principal</x:v>
      </x:c>
      <x:c r="D45" s="52" t="n">
        <x:f>IF(AND(ISNUMBER(R33)),R33,"n.a.")</x:f>
        <x:v>1785380.9073368385</x:v>
      </x:c>
      <x:c r="E45" s="2"/>
      <x:c r="F45" s="2"/>
      <x:c r="G45" s="2"/>
      <x:c r="H45" s="2"/>
      <x:c r="I45" s="2"/>
      <x:c r="J45" s="2"/>
      <x:c r="K45" s="2"/>
      <x:c r="L45" s="2"/>
      <x:c r="M45" s="2"/>
      <x:c r="N45" s="2"/>
      <x:c r="O45" s="2"/>
      <x:c r="P45" s="2"/>
      <x:c r="Q45" s="2"/>
      <x:c r="R45" s="2"/>
    </x:row>
    <x:row r="46" ht="21" customHeight="1">
      <x:c r="A46" s="2"/>
      <x:c r="B46" s="2"/>
      <x:c r="C46" s="2" t="str">
        <x:v>Extra cash to prevent negative balance</x:v>
      </x:c>
      <x:c r="D46" s="52" t="n">
        <x:f>IF(AND(ISNUMBER(G37),ISNUMBER(R37)),IF(COUNT(G37:R37)=12,MAX(0,-MIN(G37:R37)),"n.a."),"n.a.")</x:f>
        <x:v>0</x:v>
      </x:c>
      <x:c r="E46" s="2"/>
      <x:c r="F46" s="2"/>
      <x:c r="G46" s="2"/>
      <x:c r="H46" s="2"/>
      <x:c r="I46" s="2"/>
      <x:c r="J46" s="2"/>
      <x:c r="K46" s="2"/>
      <x:c r="L46" s="2"/>
      <x:c r="M46" s="2"/>
      <x:c r="N46" s="2"/>
      <x:c r="O46" s="2"/>
      <x:c r="P46" s="2"/>
      <x:c r="Q46" s="2"/>
      <x:c r="R46" s="2"/>
    </x:row>
    <x:row r="47" ht="21" customHeight="1">
      <x:c r="A47" s="2"/>
      <x:c r="B47" s="2"/>
      <x:c r="C47" s="2" t="str">
        <x:v>Outside equity after operating shortfall</x:v>
      </x:c>
      <x:c r="D47" s="52" t="n">
        <x:f>IF(AND(ISNUMBER(D19),ISNUMBER(D46)),D19-D46,"n.a.")</x:f>
        <x:v>180000</x:v>
      </x:c>
      <x:c r="E47" s="2"/>
      <x:c r="F47" s="2"/>
      <x:c r="G47" s="2"/>
      <x:c r="H47" s="2"/>
      <x:c r="I47" s="2"/>
      <x:c r="J47" s="2"/>
      <x:c r="K47" s="2"/>
      <x:c r="L47" s="2"/>
      <x:c r="M47" s="2"/>
      <x:c r="N47" s="2"/>
      <x:c r="O47" s="2"/>
      <x:c r="P47" s="2"/>
      <x:c r="Q47" s="2"/>
      <x:c r="R47" s="2"/>
    </x:row>
    <x:row r="48" ht="21" customHeight="1">
      <x:c r="A48" s="2"/>
      <x:c r="B48" s="2"/>
      <x:c r="C48" s="2" t="str">
        <x:v>Year-end operating cash</x:v>
      </x:c>
      <x:c r="D48" s="52" t="n">
        <x:f>IF(AND(ISNUMBER(R37)),R37,"n.a.")</x:f>
        <x:v>387577.6265744548</x:v>
      </x:c>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row r="61" ht="21" customHeight="1">
      <x:c r="A61" s="2"/>
      <x:c r="B61" s="2"/>
      <x:c r="C61" s="2"/>
      <x:c r="D61" s="2"/>
      <x:c r="E61" s="2"/>
      <x:c r="F61" s="2"/>
      <x:c r="G61" s="2"/>
      <x:c r="H61" s="2"/>
      <x:c r="I61" s="2"/>
      <x:c r="J61" s="2"/>
      <x:c r="K61" s="2"/>
      <x:c r="L61" s="2"/>
      <x:c r="M61" s="2"/>
      <x:c r="N61" s="2"/>
      <x:c r="O61" s="2"/>
      <x:c r="P61" s="2"/>
      <x:c r="Q61" s="2"/>
      <x:c r="R61" s="2"/>
    </x:row>
    <x:row r="62" ht="21" customHeight="1">
      <x:c r="A62" s="2"/>
      <x:c r="B62" s="2"/>
      <x:c r="C62" s="2"/>
      <x:c r="D62" s="2"/>
      <x:c r="E62" s="2"/>
      <x:c r="F62" s="2"/>
      <x:c r="G62" s="2"/>
      <x:c r="H62" s="2"/>
      <x:c r="I62" s="2"/>
      <x:c r="J62" s="2"/>
      <x:c r="K62" s="2"/>
      <x:c r="L62" s="2"/>
      <x:c r="M62" s="2"/>
      <x:c r="N62" s="2"/>
      <x:c r="O62" s="2"/>
      <x:c r="P62" s="2"/>
      <x:c r="Q62" s="2"/>
      <x:c r="R62" s="2"/>
    </x:row>
    <x:row r="63" ht="21" customHeight="1">
      <x:c r="A63" s="2"/>
      <x:c r="B63" s="2"/>
      <x:c r="C63" s="2"/>
      <x:c r="D63" s="2"/>
      <x:c r="E63" s="2"/>
      <x:c r="F63" s="2"/>
      <x:c r="G63" s="2"/>
      <x:c r="H63" s="2"/>
      <x:c r="I63" s="2"/>
      <x:c r="J63" s="2"/>
      <x:c r="K63" s="2"/>
      <x:c r="L63" s="2"/>
      <x:c r="M63" s="2"/>
      <x:c r="N63" s="2"/>
      <x:c r="O63" s="2"/>
      <x:c r="P63" s="2"/>
      <x:c r="Q63" s="2"/>
      <x:c r="R63" s="2"/>
    </x:row>
    <x:row r="64" ht="21" customHeight="1">
      <x:c r="A64" s="2"/>
      <x:c r="B64" s="2"/>
      <x:c r="C64" s="2"/>
      <x:c r="D64" s="2"/>
      <x:c r="E64" s="2"/>
      <x:c r="F64" s="2"/>
      <x:c r="G64" s="2"/>
      <x:c r="H64" s="2"/>
      <x:c r="I64" s="2"/>
      <x:c r="J64" s="2"/>
      <x:c r="K64" s="2"/>
      <x:c r="L64" s="2"/>
      <x:c r="M64" s="2"/>
      <x:c r="N64" s="2"/>
      <x:c r="O64" s="2"/>
      <x:c r="P64" s="2"/>
      <x:c r="Q64" s="2"/>
      <x:c r="R64" s="2"/>
    </x:row>
    <x:row r="65" ht="21" customHeight="1">
      <x:c r="A65" s="2"/>
      <x:c r="B65" s="2"/>
      <x:c r="C65" s="2"/>
      <x:c r="D65" s="2"/>
      <x:c r="E65" s="2"/>
      <x:c r="F65" s="2"/>
      <x:c r="G65" s="2"/>
      <x:c r="H65" s="2"/>
      <x:c r="I65" s="2"/>
      <x:c r="J65" s="2"/>
      <x:c r="K65" s="2"/>
      <x:c r="L65" s="2"/>
      <x:c r="M65" s="2"/>
      <x:c r="N65" s="2"/>
      <x:c r="O65" s="2"/>
      <x:c r="P65" s="2"/>
      <x:c r="Q65" s="2"/>
      <x:c r="R65" s="2"/>
    </x:row>
    <x:row r="66" ht="21" customHeight="1">
      <x:c r="A66" s="2"/>
      <x:c r="B66" s="2"/>
      <x:c r="C66" s="2"/>
      <x:c r="D66" s="2"/>
      <x:c r="E66" s="2"/>
      <x:c r="F66" s="2"/>
      <x:c r="G66" s="2"/>
      <x:c r="H66" s="2"/>
      <x:c r="I66" s="2"/>
      <x:c r="J66" s="2"/>
      <x:c r="K66" s="2"/>
      <x:c r="L66" s="2"/>
      <x:c r="M66" s="2"/>
      <x:c r="N66" s="2"/>
      <x:c r="O66" s="2"/>
      <x:c r="P66" s="2"/>
      <x:c r="Q66" s="2"/>
      <x:c r="R66" s="2"/>
    </x:row>
    <x:row r="67" ht="21" customHeight="1">
      <x:c r="A67" s="2"/>
      <x:c r="B67" s="2"/>
      <x:c r="C67" s="2"/>
      <x:c r="D67" s="2"/>
      <x:c r="E67" s="2"/>
      <x:c r="F67" s="2"/>
      <x:c r="G67" s="2"/>
      <x:c r="H67" s="2"/>
      <x:c r="I67" s="2"/>
      <x:c r="J67" s="2"/>
      <x:c r="K67" s="2"/>
      <x:c r="L67" s="2"/>
      <x:c r="M67" s="2"/>
      <x:c r="N67" s="2"/>
      <x:c r="O67" s="2"/>
      <x:c r="P67" s="2"/>
      <x:c r="Q67" s="2"/>
      <x:c r="R67" s="2"/>
    </x:row>
    <x:row r="68" ht="21" customHeight="1">
      <x:c r="A68" s="2"/>
      <x:c r="B68" s="2"/>
      <x:c r="C68" s="2"/>
      <x:c r="D68" s="2"/>
      <x:c r="E68" s="2"/>
      <x:c r="F68" s="2"/>
      <x:c r="G68" s="2"/>
      <x:c r="H68" s="2"/>
      <x:c r="I68" s="2"/>
      <x:c r="J68" s="2"/>
      <x:c r="K68" s="2"/>
      <x:c r="L68" s="2"/>
      <x:c r="M68" s="2"/>
      <x:c r="N68" s="2"/>
      <x:c r="O68" s="2"/>
      <x:c r="P68" s="2"/>
      <x:c r="Q68" s="2"/>
      <x:c r="R68" s="2"/>
    </x:row>
    <x:row r="69" ht="21" customHeight="1">
      <x:c r="A69" s="2"/>
      <x:c r="B69" s="2"/>
      <x:c r="C69" s="2"/>
      <x:c r="D69" s="2"/>
      <x:c r="E69" s="2"/>
      <x:c r="F69" s="2"/>
      <x:c r="G69" s="2"/>
      <x:c r="H69" s="2"/>
      <x:c r="I69" s="2"/>
      <x:c r="J69" s="2"/>
      <x:c r="K69" s="2"/>
      <x:c r="L69" s="2"/>
      <x:c r="M69" s="2"/>
      <x:c r="N69" s="2"/>
      <x:c r="O69" s="2"/>
      <x:c r="P69" s="2"/>
      <x:c r="Q69" s="2"/>
      <x:c r="R69" s="2"/>
    </x:row>
    <x:row r="70" ht="21" customHeight="1">
      <x:c r="A70" s="2"/>
      <x:c r="B70" s="2"/>
      <x:c r="C70" s="2"/>
      <x:c r="D70" s="2"/>
      <x:c r="E70" s="2"/>
      <x:c r="F70" s="2"/>
      <x:c r="G70" s="2"/>
      <x:c r="H70" s="2"/>
      <x:c r="I70" s="2"/>
      <x:c r="J70" s="2"/>
      <x:c r="K70" s="2"/>
      <x:c r="L70" s="2"/>
      <x:c r="M70" s="2"/>
      <x:c r="N70" s="2"/>
      <x:c r="O70" s="2"/>
      <x:c r="P70" s="2"/>
      <x:c r="Q70" s="2"/>
      <x:c r="R70" s="2"/>
    </x:row>
  </x:sheetData>
  <x:conditionalFormatting sqref="G37:R38">
    <x:cfRule type="cellIs" dxfId="1" priority="1" operator="lessThan">
      <x:formula>0</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5" hidden="0" customWidth="1"/>
    <x:col min="2" max="2" width="2.5" hidden="0" customWidth="1"/>
    <x:col min="3" max="3" width="60" hidden="0" customWidth="1"/>
    <x:col min="4" max="4" width="20" hidden="0" customWidth="1"/>
    <x:col min="5" max="5" width="3" hidden="0" customWidth="1"/>
    <x:col min="6" max="6" width="3" hidden="0" customWidth="1"/>
    <x:col min="7" max="7" width="70"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Model checks and conventions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selected</x:v>
      </x:c>
      <x:c r="D5" s="9" t="str">
        <x:f>'Assumptions'!D6</x:f>
        <x:v>Base</x:v>
      </x:c>
      <x:c r="E5" s="2"/>
      <x:c r="F5" s="2"/>
      <x:c r="G5" s="2"/>
      <x:c r="H5" s="2"/>
      <x:c r="I5" s="2"/>
      <x:c r="J5" s="2"/>
    </x:row>
    <x:row r="6" ht="21" customHeight="1">
      <x:c r="A6" s="2"/>
      <x:c r="B6" s="2"/>
      <x:c r="C6" s="2"/>
      <x:c r="D6" s="2"/>
      <x:c r="E6" s="2"/>
      <x:c r="F6" s="2"/>
      <x:c r="G6" s="2"/>
      <x:c r="H6" s="2"/>
      <x:c r="I6" s="2"/>
      <x:c r="J6" s="2"/>
    </x:row>
    <x:row r="7" ht="21" customHeight="1">
      <x:c r="A7" s="2"/>
      <x:c r="B7" s="2"/>
      <x:c r="C7" s="2" t="str">
        <x:v>Differences should equal 0.00. Missing data remains unavailable.</x:v>
      </x:c>
      <x:c r="D7" s="2"/>
      <x:c r="E7" s="2"/>
      <x:c r="F7" s="2"/>
      <x:c r="G7" s="2"/>
      <x:c r="H7" s="2"/>
      <x:c r="I7" s="2"/>
      <x:c r="J7" s="2"/>
    </x:row>
    <x:row r="8" ht="21" customHeight="1">
      <x:c r="A8" s="2"/>
      <x:c r="B8" s="2"/>
      <x:c r="C8" s="2"/>
      <x:c r="D8" s="2"/>
      <x:c r="E8" s="2"/>
      <x:c r="F8" s="2"/>
      <x:c r="G8" s="2"/>
      <x:c r="H8" s="2"/>
      <x:c r="I8" s="2"/>
      <x:c r="J8" s="2"/>
    </x:row>
    <x:row r="9" ht="30" customHeight="1">
      <x:c r="A9" s="2"/>
      <x:c r="B9" s="2"/>
      <x:c r="C9" s="21" t="str">
        <x:v>Check</x:v>
      </x:c>
      <x:c r="D9" s="21" t="str">
        <x:v>Difference / count</x:v>
      </x:c>
      <x:c r="E9" s="2"/>
      <x:c r="F9" s="2"/>
      <x:c r="G9" s="2"/>
      <x:c r="H9" s="2"/>
      <x:c r="I9" s="2"/>
      <x:c r="J9" s="2"/>
    </x:row>
    <x:row r="10" ht="21" customHeight="1">
      <x:c r="A10" s="2"/>
      <x:c r="B10" s="2"/>
      <x:c r="C10" s="2" t="str">
        <x:v>Selected scalar input failures</x:v>
      </x:c>
      <x:c r="D10" s="71" t="n">
        <x:f>27-COUNT('Assumptions'!$D$10,'Assumptions'!$D$13,'Assumptions'!$D$16,'Assumptions'!$D$19,'Assumptions'!$D$22,'Assumptions'!$D$25,'Assumptions'!$D$28,'Assumptions'!$D$31,'Assumptions'!$D$34,'Assumptions'!$D$37,'Assumptions'!$D$40,'Assumptions'!$D$43,'Assumptions'!$D$46,'Assumptions'!$D$49,'Assumptions'!$D$52,'Assumptions'!$D$55,'Assumptions'!$D$58,'Assumptions'!$D$61,'Assumptions'!$D$64,'Assumptions'!$D$67,'Assumptions'!$D$70,'Assumptions'!$D$73,'Assumptions'!$D$76,'Assumptions'!$D$79,'Assumptions'!$D$82,'Assumptions'!$D$85,'Assumptions'!$D$88)</x:f>
        <x:v>0</x:v>
      </x:c>
      <x:c r="E10" s="2"/>
      <x:c r="F10" s="2"/>
      <x:c r="G10" s="2"/>
      <x:c r="H10" s="2"/>
      <x:c r="I10" s="2"/>
      <x:c r="J10" s="2"/>
    </x:row>
    <x:row r="11" ht="21" customHeight="1">
      <x:c r="A11" s="2"/>
      <x:c r="B11" s="2"/>
      <x:c r="C11" s="2" t="str">
        <x:v>Source rows needing correction</x:v>
      </x:c>
      <x:c r="D11" s="71" t="n">
        <x:f>COUNTIFS('Services and Restricted Cash'!N10:N21,"Missing / invalid input")</x:f>
        <x:v>0</x:v>
      </x:c>
      <x:c r="E11" s="2"/>
      <x:c r="F11" s="2"/>
      <x:c r="G11" s="2"/>
      <x:c r="H11" s="2"/>
      <x:c r="I11" s="2"/>
      <x:c r="J11" s="2"/>
    </x:row>
    <x:row r="12" ht="21" customHeight="1">
      <x:c r="A12" s="2"/>
      <x:c r="B12" s="2"/>
      <x:c r="C12" s="2" t="str">
        <x:v>Residual cash-cost reconciliation</x:v>
      </x:c>
      <x:c r="D12" s="71" t="n">
        <x:f>IF(AND(ISNUMBER('Operations'!E29),ISNUMBER('Operations'!E20),ISNUMBER('Operations'!E28)),'Operations'!E29-'Operations'!E20+'Operations'!E28,"n.a.")</x:f>
        <x:v>0</x:v>
      </x:c>
      <x:c r="E12" s="2"/>
      <x:c r="F12" s="2"/>
      <x:c r="G12" s="2"/>
      <x:c r="H12" s="2"/>
      <x:c r="I12" s="2"/>
      <x:c r="J12" s="2"/>
    </x:row>
    <x:row r="13" ht="21" customHeight="1">
      <x:c r="A13" s="2"/>
      <x:c r="B13" s="2"/>
      <x:c r="C13" s="2" t="str">
        <x:v>NCF reserve reconciliation</x:v>
      </x:c>
      <x:c r="D13" s="71" t="n">
        <x:f>IF(AND(ISNUMBER('Operations'!E31),ISNUMBER('Operations'!E29),ISNUMBER('Operations'!E30)),'Operations'!E31-'Operations'!E29+'Operations'!E30,"n.a.")</x:f>
        <x:v>0</x:v>
      </x:c>
      <x:c r="E13" s="2"/>
      <x:c r="F13" s="2"/>
      <x:c r="G13" s="2"/>
      <x:c r="H13" s="2"/>
      <x:c r="I13" s="2"/>
      <x:c r="J13" s="2"/>
    </x:row>
    <x:row r="14" ht="21" customHeight="1">
      <x:c r="A14" s="2"/>
      <x:c r="B14" s="2"/>
      <x:c r="C14" s="2" t="str">
        <x:v>Debt principal conservation</x:v>
      </x:c>
      <x:c r="D14" s="71" t="n">
        <x:f>IF(COUNT('Debt and Funding'!G32:R32)=12,'Debt and Funding'!D14-SUM('Debt and Funding'!G32:R32)-SUM('Debt and Funding'!G38:R38)-'Debt and Funding'!D45,"n.a.")</x:f>
        <x:v>0</x:v>
      </x:c>
      <x:c r="E14" s="2"/>
      <x:c r="F14" s="2"/>
      <x:c r="G14" s="2"/>
      <x:c r="H14" s="2"/>
      <x:c r="I14" s="2"/>
      <x:c r="J14" s="2"/>
    </x:row>
    <x:row r="15" ht="21" customHeight="1">
      <x:c r="A15" s="2"/>
      <x:c r="B15" s="2"/>
      <x:c r="C15" s="2" t="str">
        <x:v>Operating cash conservation</x:v>
      </x:c>
      <x:c r="D15" s="71" t="n">
        <x:f>IF(COUNT('Debt and Funding'!G34:R36)=36,'Debt and Funding'!R37-'Assumptions'!$D$22-SUM('Debt and Funding'!G34:R34)+SUM('Debt and Funding'!G31:R31)+SUM('Debt and Funding'!G35:R35)+SUM('Debt and Funding'!G38:R38),"n.a.")</x:f>
        <x:v>1.7462298274040222e-10</x:v>
      </x:c>
      <x:c r="E15" s="2"/>
      <x:c r="F15" s="2"/>
      <x:c r="G15" s="2"/>
      <x:c r="H15" s="2"/>
      <x:c r="I15" s="2"/>
      <x:c r="J15" s="2"/>
    </x:row>
    <x:row r="16" ht="21" customHeight="1">
      <x:c r="A16" s="2"/>
      <x:c r="B16" s="2"/>
      <x:c r="C16" s="2" t="str">
        <x:v>Closing sources less uses</x:v>
      </x:c>
      <x:c r="D16" s="71" t="n">
        <x:f>IF(AND(ISNUMBER('Debt and Funding'!D14),ISNUMBER('Debt and Funding'!D18),ISNUMBER('Debt and Funding'!D17)),'Debt and Funding'!D14+'Debt and Funding'!D18-'Debt and Funding'!D17,"n.a.")</x:f>
        <x:v>0</x:v>
      </x:c>
      <x:c r="E16" s="2"/>
      <x:c r="F16" s="2"/>
      <x:c r="G16" s="2"/>
      <x:c r="H16" s="2"/>
      <x:c r="I16" s="2"/>
      <x:c r="J16" s="2"/>
    </x:row>
    <x:row r="17" ht="21" customHeight="1">
      <x:c r="A17" s="2"/>
      <x:c r="B17" s="2"/>
      <x:c r="C17" s="2"/>
      <x:c r="D17" s="2"/>
      <x:c r="E17" s="2"/>
      <x:c r="F17" s="2"/>
      <x:c r="G17" s="2"/>
      <x:c r="H17" s="2"/>
      <x:c r="I17" s="2"/>
      <x:c r="J17" s="2"/>
    </x:row>
    <x:row r="18" ht="21" customHeight="1">
      <x:c r="A18" s="2"/>
      <x:c r="B18" s="2"/>
      <x:c r="C18" s="2"/>
      <x:c r="D18" s="2"/>
      <x:c r="E18" s="2"/>
      <x:c r="F18" s="2"/>
      <x:c r="G18" s="2"/>
      <x:c r="H18" s="2"/>
      <x:c r="I18" s="2"/>
      <x:c r="J18" s="2"/>
    </x:row>
    <x:row r="19" ht="21" customHeight="1">
      <x:c r="A19" s="2"/>
      <x:c r="B19" s="2"/>
      <x:c r="C19" s="2"/>
      <x:c r="D19" s="2"/>
      <x:c r="E19" s="2"/>
      <x:c r="F19" s="2"/>
      <x:c r="G19" s="2"/>
      <x:c r="H19" s="2"/>
      <x:c r="I19" s="2"/>
      <x:c r="J19" s="2"/>
    </x:row>
    <x:row r="20" ht="21" customHeight="1">
      <x:c r="A20" s="2"/>
      <x:c r="B20" s="2"/>
      <x:c r="C20" s="2"/>
      <x:c r="D20" s="2"/>
      <x:c r="E20" s="2"/>
      <x:c r="F20" s="2"/>
      <x:c r="G20" s="2"/>
      <x:c r="H20" s="2"/>
      <x:c r="I20" s="2"/>
      <x:c r="J20" s="2"/>
    </x:row>
    <x:row r="21" ht="21" customHeight="1">
      <x:c r="A21" s="2"/>
      <x:c r="B21" s="2"/>
      <x:c r="C21" s="2"/>
      <x:c r="D21" s="2"/>
      <x:c r="E21" s="2"/>
      <x:c r="F21" s="2"/>
      <x:c r="G21" s="2"/>
      <x:c r="H21" s="2"/>
      <x:c r="I21" s="2"/>
      <x:c r="J21" s="2"/>
    </x:row>
    <x:row r="22" ht="21" customHeight="1">
      <x:c r="A22" s="2"/>
      <x:c r="B22" s="2"/>
      <x:c r="C22" s="2"/>
      <x:c r="D22" s="2"/>
      <x:c r="E22" s="2"/>
      <x:c r="F22" s="2"/>
      <x:c r="G22" s="2"/>
      <x:c r="H22" s="2"/>
      <x:c r="I22" s="2"/>
      <x:c r="J22" s="2"/>
    </x:row>
    <x:row r="23" ht="21" customHeight="1">
      <x:c r="A23" s="2"/>
      <x:c r="B23" s="2"/>
      <x:c r="C23" s="2" t="str">
        <x:v>New preneed deposits and remaining restricted funds never enter available operating cash</x:v>
      </x:c>
      <x:c r="D23" s="2"/>
      <x:c r="E23" s="2"/>
      <x:c r="F23" s="2"/>
      <x:c r="G23" s="2"/>
      <x:c r="H23" s="2"/>
      <x:c r="I23" s="2"/>
      <x:c r="J23" s="2"/>
    </x:row>
    <x:row r="24" ht="21" customHeight="1">
      <x:c r="A24" s="2"/>
      <x:c r="B24" s="2"/>
      <x:c r="C24" s="2" t="str">
        <x:v>or debt-sizing receipts. Only separately verified releases for fulfilled services enter</x:v>
      </x:c>
      <x:c r="D24" s="2"/>
      <x:c r="E24" s="2"/>
      <x:c r="F24" s="2"/>
      <x:c r="G24" s="2"/>
      <x:c r="H24" s="2"/>
      <x:c r="I24" s="2"/>
      <x:c r="J24" s="2"/>
    </x:row>
    <x:row r="25" ht="21" customHeight="1">
      <x:c r="A25" s="2"/>
      <x:c r="B25" s="2"/>
      <x:c r="C25" s="2" t="str">
        <x:v>the cash bridge, capped by entered fund availability.</x:v>
      </x:c>
      <x:c r="D25" s="2"/>
      <x:c r="E25" s="2"/>
      <x:c r="F25" s="2"/>
      <x:c r="G25" s="2"/>
      <x:c r="H25" s="2"/>
      <x:c r="I25" s="2"/>
      <x:c r="J25" s="2"/>
    </x:row>
    <x:row r="26" ht="21" customHeight="1">
      <x:c r="A26" s="2"/>
      <x:c r="B26" s="2"/>
      <x:c r="C26" s="2"/>
      <x:c r="D26" s="2"/>
      <x:c r="E26" s="2"/>
      <x:c r="F26" s="2"/>
      <x:c r="G26" s="2"/>
      <x:c r="H26" s="2"/>
      <x:c r="I26" s="2"/>
      <x:c r="J26" s="2"/>
    </x:row>
    <x:row r="27" ht="21" customHeight="1">
      <x:c r="A27" s="2"/>
      <x:c r="B27" s="2"/>
      <x:c r="C27" s="2" t="str">
        <x:v>The restricted balance rollforward is a cash tracking example, not a trust sufficiency,</x:v>
      </x:c>
      <x:c r="D27" s="2"/>
      <x:c r="E27" s="2"/>
      <x:c r="F27" s="2"/>
      <x:c r="G27" s="2"/>
      <x:c r="H27" s="2"/>
      <x:c r="I27" s="2"/>
      <x:c r="J27" s="2"/>
    </x:row>
    <x:row r="28" ht="21" customHeight="1">
      <x:c r="A28" s="2"/>
      <x:c r="B28" s="2"/>
      <x:c r="C28" s="2" t="str">
        <x:v>legal release, insurance assignment or state compliance determination. No investment</x:v>
      </x:c>
      <x:c r="D28" s="2"/>
      <x:c r="E28" s="2"/>
      <x:c r="F28" s="2"/>
      <x:c r="G28" s="2"/>
      <x:c r="H28" s="2"/>
      <x:c r="I28" s="2"/>
      <x:c r="J28" s="2"/>
    </x:row>
    <x:row r="29" ht="21" customHeight="1">
      <x:c r="A29" s="2"/>
      <x:c r="B29" s="2"/>
      <x:c r="C29" s="2" t="str">
        <x:v>earnings, refunds or unfunded preneed liability are modeled.</x:v>
      </x:c>
      <x:c r="D29" s="2"/>
      <x:c r="E29" s="2"/>
      <x:c r="F29" s="2"/>
      <x:c r="G29" s="2"/>
      <x:c r="H29" s="2"/>
      <x:c r="I29" s="2"/>
      <x:c r="J29" s="2"/>
    </x:row>
    <x:row r="30" ht="21" customHeight="1">
      <x:c r="A30" s="2"/>
      <x:c r="B30" s="2"/>
      <x:c r="C30" s="2"/>
      <x:c r="D30" s="2"/>
      <x:c r="E30" s="2"/>
      <x:c r="F30" s="2"/>
      <x:c r="G30" s="2"/>
      <x:c r="H30" s="2"/>
      <x:c r="I30" s="2"/>
      <x:c r="J30" s="2"/>
    </x:row>
    <x:row r="31" ht="21" customHeight="1">
      <x:c r="A31" s="2"/>
      <x:c r="B31" s="2"/>
      <x:c r="C31" s="2" t="str">
        <x:v>At-need fees are collected amounts excluding pass-through items. Direct costs apply to</x:v>
      </x:c>
      <x:c r="D31" s="2"/>
      <x:c r="E31" s="2"/>
      <x:c r="F31" s="2"/>
      <x:c r="G31" s="2"/>
      <x:c r="H31" s="2"/>
      <x:c r="I31" s="2"/>
      <x:c r="J31" s="2"/>
    </x:row>
    <x:row r="32" ht="21" customHeight="1">
      <x:c r="A32" s="2"/>
      <x:c r="B32" s="2"/>
      <x:c r="C32" s="2" t="str">
        <x:v>both current and fulfilled-preneed services; do not enter the same service in both</x:v>
      </x:c>
      <x:c r="D32" s="2"/>
      <x:c r="E32" s="2"/>
      <x:c r="F32" s="2"/>
      <x:c r="G32" s="2"/>
      <x:c r="H32" s="2"/>
      <x:c r="I32" s="2"/>
      <x:c r="J32" s="2"/>
    </x:row>
    <x:row r="33" ht="21" customHeight="1">
      <x:c r="A33" s="2"/>
      <x:c r="B33" s="2"/>
      <x:c r="C33" s="2" t="str">
        <x:v>counts.</x:v>
      </x:c>
      <x:c r="D33" s="2"/>
      <x:c r="E33" s="2"/>
      <x:c r="F33" s="2"/>
      <x:c r="G33" s="2"/>
      <x:c r="H33" s="2"/>
      <x:c r="I33" s="2"/>
      <x:c r="J33" s="2"/>
    </x:row>
    <x:row r="34" ht="21" customHeight="1">
      <x:c r="A34" s="2"/>
      <x:c r="B34" s="2"/>
      <x:c r="C34" s="2"/>
      <x:c r="D34" s="2"/>
      <x:c r="E34" s="2"/>
      <x:c r="F34" s="2"/>
      <x:c r="G34" s="2"/>
      <x:c r="H34" s="2"/>
      <x:c r="I34" s="2"/>
      <x:c r="J34" s="2"/>
    </x:row>
    <x:row r="35" ht="21" customHeight="1">
      <x:c r="A35" s="2"/>
      <x:c r="B35" s="2"/>
      <x:c r="C35" s="2" t="str">
        <x:v>Combined cash is an operating-business and property measure, not property NOI. Other</x:v>
      </x:c>
      <x:c r="D35" s="2"/>
      <x:c r="E35" s="2"/>
      <x:c r="F35" s="2"/>
      <x:c r="G35" s="2"/>
      <x:c r="H35" s="2"/>
      <x:c r="I35" s="2"/>
      <x:c r="J35" s="2"/>
    </x:row>
    <x:row r="36" ht="21" customHeight="1">
      <x:c r="A36" s="2"/>
      <x:c r="B36" s="2"/>
      <x:c r="C36" s="2" t="str">
        <x:v>business debt, taxes/distributions and maintenance capital are deducted once before the</x:v>
      </x:c>
      <x:c r="D36" s="2"/>
      <x:c r="E36" s="2"/>
      <x:c r="F36" s="2"/>
      <x:c r="G36" s="2"/>
      <x:c r="H36" s="2"/>
      <x:c r="I36" s="2"/>
      <x:c r="J36" s="2"/>
    </x:row>
    <x:row r="37" ht="21" customHeight="1">
      <x:c r="A37" s="2"/>
      <x:c r="B37" s="2"/>
      <x:c r="C37" s="2" t="str">
        <x:v>residual property-debt proxy.</x:v>
      </x:c>
      <x:c r="D37" s="2"/>
      <x:c r="E37" s="2"/>
      <x:c r="F37" s="2"/>
      <x:c r="G37" s="2"/>
      <x:c r="H37" s="2"/>
      <x:c r="I37" s="2"/>
      <x:c r="J37" s="2"/>
    </x:row>
    <x:row r="38" ht="21" customHeight="1">
      <x:c r="A38" s="2"/>
      <x:c r="B38" s="2"/>
      <x:c r="C38" s="2"/>
      <x:c r="D38" s="2"/>
      <x:c r="E38" s="2"/>
      <x:c r="F38" s="2"/>
      <x:c r="G38" s="2"/>
      <x:c r="H38" s="2"/>
      <x:c r="I38" s="2"/>
      <x:c r="J38" s="2"/>
    </x:row>
    <x:row r="39" ht="21" customHeight="1">
      <x:c r="A39" s="2"/>
      <x:c r="B39" s="2"/>
      <x:c r="C39" s="2" t="str">
        <x:v>Value and acquisition price refer only to the real estate. LTV never applies to</x:v>
      </x:c>
      <x:c r="D39" s="2"/>
      <x:c r="E39" s="2"/>
      <x:c r="F39" s="2"/>
      <x:c r="G39" s="2"/>
      <x:c r="H39" s="2"/>
      <x:c r="I39" s="2"/>
      <x:c r="J39" s="2"/>
    </x:row>
    <x:row r="40" ht="21" customHeight="1">
      <x:c r="A40" s="2"/>
      <x:c r="B40" s="2"/>
      <x:c r="C40" s="2" t="str">
        <x:v>enterprise value, goodwill, inventory or equipment. The modeled loan is property debt</x:v>
      </x:c>
      <x:c r="D40" s="2"/>
      <x:c r="E40" s="2"/>
      <x:c r="F40" s="2"/>
      <x:c r="G40" s="2"/>
      <x:c r="H40" s="2"/>
      <x:c r="I40" s="2"/>
      <x:c r="J40" s="2"/>
    </x:row>
    <x:row r="41" ht="21" customHeight="1">
      <x:c r="A41" s="2"/>
      <x:c r="B41" s="2"/>
      <x:c r="C41" s="2" t="str">
        <x:v>supported by residual combined cash, not a business-acquisition valuation or program</x:v>
      </x:c>
      <x:c r="D41" s="2"/>
      <x:c r="E41" s="2"/>
      <x:c r="F41" s="2"/>
      <x:c r="G41" s="2"/>
      <x:c r="H41" s="2"/>
      <x:c r="I41" s="2"/>
      <x:c r="J41" s="2"/>
    </x:row>
    <x:row r="42" ht="21" customHeight="1">
      <x:c r="A42" s="2"/>
      <x:c r="B42" s="2"/>
      <x:c r="C42" s="2" t="str">
        <x:v>eligibility test.</x:v>
      </x:c>
      <x:c r="D42" s="2"/>
      <x:c r="E42" s="2"/>
      <x:c r="F42" s="2"/>
      <x:c r="G42" s="2"/>
      <x:c r="H42" s="2"/>
      <x:c r="I42" s="2"/>
      <x:c r="J42" s="2"/>
    </x:row>
    <x:row r="43" ht="21" customHeight="1">
      <x:c r="A43" s="2"/>
      <x:c r="B43" s="2"/>
      <x:c r="C43" s="2"/>
      <x:c r="D43" s="2"/>
      <x:c r="E43" s="2"/>
      <x:c r="F43" s="2"/>
      <x:c r="G43" s="2"/>
      <x:c r="H43" s="2"/>
      <x:c r="I43" s="2"/>
      <x:c r="J43" s="2"/>
    </x:row>
    <x:row r="44" ht="21" customHeight="1">
      <x:c r="A44" s="2"/>
      <x:c r="B44" s="2"/>
      <x:c r="C44" s="2" t="str">
        <x:v>Business purchases, equipment purchases at closing and goodwill are excluded from the</x:v>
      </x:c>
      <x:c r="D44" s="2"/>
      <x:c r="E44" s="2"/>
      <x:c r="F44" s="2"/>
      <x:c r="G44" s="2"/>
      <x:c r="H44" s="2"/>
      <x:c r="I44" s="2"/>
      <x:c r="J44" s="2"/>
    </x:row>
    <x:row r="45" ht="21" customHeight="1">
      <x:c r="A45" s="2"/>
      <x:c r="B45" s="2"/>
      <x:c r="C45" s="2" t="str">
        <x:v>example acquisition uses. Reconcile their separate funding and resulting debt</x:v>
      </x:c>
      <x:c r="D45" s="2"/>
      <x:c r="E45" s="2"/>
      <x:c r="F45" s="2"/>
      <x:c r="G45" s="2"/>
      <x:c r="H45" s="2"/>
      <x:c r="I45" s="2"/>
      <x:c r="J45" s="2"/>
    </x:row>
    <x:row r="46" ht="21" customHeight="1">
      <x:c r="A46" s="2"/>
      <x:c r="B46" s="2"/>
      <x:c r="C46" s="2" t="str">
        <x:v>obligations before relying on the property-only equity gap. Include additional</x:v>
      </x:c>
      <x:c r="D46" s="2"/>
      <x:c r="E46" s="2"/>
      <x:c r="F46" s="2"/>
      <x:c r="G46" s="2"/>
      <x:c r="H46" s="2"/>
      <x:c r="I46" s="2"/>
      <x:c r="J46" s="2"/>
    </x:row>
    <x:row r="47" ht="21" customHeight="1">
      <x:c r="A47" s="2"/>
      <x:c r="B47" s="2"/>
      <x:c r="C47" s="2" t="str">
        <x:v>post-closing equipment or expansion cash in the capital schedule once.</x:v>
      </x:c>
      <x:c r="D47" s="2"/>
      <x:c r="E47" s="2"/>
      <x:c r="F47" s="2"/>
      <x:c r="G47" s="2"/>
      <x:c r="H47" s="2"/>
      <x:c r="I47" s="2"/>
      <x:c r="J47" s="2"/>
    </x:row>
    <x:row r="48" ht="21" customHeight="1">
      <x:c r="A48" s="2"/>
      <x:c r="B48" s="2"/>
      <x:c r="C48" s="2"/>
      <x:c r="D48" s="2"/>
      <x:c r="E48" s="2"/>
      <x:c r="F48" s="2"/>
      <x:c r="G48" s="2"/>
      <x:c r="H48" s="2"/>
      <x:c r="I48" s="2"/>
      <x:c r="J48" s="2"/>
    </x:row>
    <x:row r="49" ht="21" customHeight="1">
      <x:c r="A49" s="2"/>
      <x:c r="B49" s="2"/>
      <x:c r="C49" s="2" t="str">
        <x:v>Related-party rent is shown and eliminated. External property costs exclude mortgage</x:v>
      </x:c>
      <x:c r="D49" s="2"/>
      <x:c r="E49" s="2"/>
      <x:c r="F49" s="2"/>
      <x:c r="G49" s="2"/>
      <x:c r="H49" s="2"/>
      <x:c r="I49" s="2"/>
      <x:c r="J49" s="2"/>
    </x:row>
    <x:row r="50" ht="21" customHeight="1">
      <x:c r="A50" s="2"/>
      <x:c r="B50" s="2"/>
      <x:c r="C50" s="2" t="str">
        <x:v>debt and must not also appear in business operating inputs. No intercompany transfer</x:v>
      </x:c>
      <x:c r="D50" s="2"/>
      <x:c r="E50" s="2"/>
      <x:c r="F50" s="2"/>
      <x:c r="G50" s="2"/>
      <x:c r="H50" s="2"/>
      <x:c r="I50" s="2"/>
      <x:c r="J50" s="2"/>
    </x:row>
    <x:row r="51" ht="21" customHeight="1">
      <x:c r="A51" s="2"/>
      <x:c r="B51" s="2"/>
      <x:c r="C51" s="2" t="str">
        <x:v>permission is established.</x:v>
      </x:c>
      <x:c r="D51" s="2"/>
      <x:c r="E51" s="2"/>
      <x:c r="F51" s="2"/>
      <x:c r="G51" s="2"/>
      <x:c r="H51" s="2"/>
      <x:c r="I51" s="2"/>
      <x:c r="J51" s="2"/>
    </x:row>
    <x:row r="52" ht="21" customHeight="1">
      <x:c r="A52" s="2"/>
      <x:c r="B52" s="2"/>
      <x:c r="C52" s="2"/>
      <x:c r="D52" s="2"/>
      <x:c r="E52" s="2"/>
      <x:c r="F52" s="2"/>
      <x:c r="G52" s="2"/>
      <x:c r="H52" s="2"/>
      <x:c r="I52" s="2"/>
      <x:c r="J52" s="2"/>
    </x:row>
    <x:row r="53" ht="21" customHeight="1">
      <x:c r="A53" s="2"/>
      <x:c r="B53" s="2"/>
      <x:c r="C53" s="2" t="str">
        <x:v>Maintenance capital is deducted before sizing. Additional expansion/property capital is</x:v>
      </x:c>
      <x:c r="D53" s="2"/>
      <x:c r="E53" s="2"/>
      <x:c r="F53" s="2"/>
      <x:c r="G53" s="2"/>
      <x:c r="H53" s="2"/>
      <x:c r="I53" s="2"/>
      <x:c r="J53" s="2"/>
    </x:row>
    <x:row r="54" ht="21" customHeight="1">
      <x:c r="A54" s="2"/>
      <x:c r="B54" s="2"/>
      <x:c r="C54" s="2" t="str">
        <x:v>deducted below residual cash. Do not enter the same cost in both places.</x:v>
      </x:c>
      <x:c r="D54" s="2"/>
      <x:c r="E54" s="2"/>
      <x:c r="F54" s="2"/>
      <x:c r="G54" s="2"/>
      <x:c r="H54" s="2"/>
      <x:c r="I54" s="2"/>
      <x:c r="J54" s="2"/>
    </x:row>
    <x:row r="55" ht="21" customHeight="1">
      <x:c r="A55" s="2"/>
      <x:c r="B55" s="2"/>
      <x:c r="C55" s="2"/>
      <x:c r="D55" s="2"/>
      <x:c r="E55" s="2"/>
      <x:c r="F55" s="2"/>
      <x:c r="G55" s="2"/>
      <x:c r="H55" s="2"/>
      <x:c r="I55" s="2"/>
      <x:c r="J55" s="2"/>
    </x:row>
    <x:row r="56" ht="21" customHeight="1">
      <x:c r="A56" s="2"/>
      <x:c r="B56" s="2"/>
      <x:c r="C56" s="2" t="str">
        <x:v>All amounts are fictional. Residual coverage, value and cash tests do not establish bank</x:v>
      </x:c>
      <x:c r="D56" s="2"/>
      <x:c r="E56" s="2"/>
      <x:c r="F56" s="2"/>
      <x:c r="G56" s="2"/>
      <x:c r="H56" s="2"/>
      <x:c r="I56" s="2"/>
      <x:c r="J56" s="2"/>
    </x:row>
    <x:row r="57" ht="21" customHeight="1">
      <x:c r="A57" s="2"/>
      <x:c r="B57" s="2"/>
      <x:c r="C57" s="2" t="str">
        <x:v>DSCR, program eligibility, business value or a loan commitment.</x:v>
      </x:c>
      <x:c r="D57" s="2"/>
      <x:c r="E57" s="2"/>
      <x:c r="F57" s="2"/>
      <x:c r="G57" s="2"/>
      <x:c r="H57" s="2"/>
      <x:c r="I57" s="2"/>
      <x:c r="J57" s="2"/>
    </x:row>
    <x:row r="58" ht="21" customHeight="1">
      <x:c r="A58" s="2"/>
      <x:c r="B58" s="2"/>
      <x:c r="C58" s="2"/>
      <x:c r="D58" s="2"/>
      <x:c r="E58" s="2"/>
      <x:c r="F58" s="2"/>
      <x:c r="G58" s="2"/>
      <x:c r="H58" s="2"/>
      <x:c r="I58" s="2"/>
      <x:c r="J58" s="2"/>
    </x:row>
    <x:row r="59" ht="21" customHeight="1">
      <x:c r="A59" s="2"/>
      <x:c r="B59" s="2"/>
      <x:c r="C59" s="2" t="str">
        <x:v>Published by Jaken Finance Group. 833-264-7776 | info@jakenfinancegroup.com.</x:v>
      </x:c>
      <x:c r="D59" s="2"/>
      <x:c r="E59" s="2"/>
      <x:c r="F59" s="2"/>
      <x:c r="G59" s="2"/>
      <x:c r="H59" s="2"/>
      <x:c r="I59" s="2"/>
      <x:c r="J59" s="2"/>
    </x:row>
    <x:row r="60" ht="21" customHeight="1">
      <x:c r="A60" s="2"/>
      <x:c r="B60" s="2"/>
      <x:c r="C60" s="2"/>
      <x:c r="D60" s="2"/>
      <x:c r="E60" s="2"/>
      <x:c r="F60" s="2"/>
      <x:c r="G60" s="2"/>
      <x:c r="H60" s="2"/>
      <x:c r="I60" s="2"/>
      <x:c r="J60" s="2"/>
    </x:row>
    <x:row r="61">
      <x:c r="C61" s="72" t="str">
        <x:v>Every numerical assumption is illustrative. No current market quote, legal conclusion or</x:v>
      </x:c>
    </x:row>
    <x:row r="62">
      <x:c r="C62" s="72" t="str">
        <x:v>lender eligibility is represented.</x:v>
      </x:c>
    </x:row>
    <x:row r="63">
      <x:c r="C63" s="72"/>
    </x:row>
    <x:row r="64">
      <x:c r="C64" s="72" t="str">
        <x:v>NCF is a modeled cash measure after cash reserve deposits. An actual lender may adjust</x:v>
      </x:c>
    </x:row>
    <x:row r="65">
      <x:c r="C65" s="72" t="str">
        <x:v>income, expenses, reserves, tax and business cash differently.</x:v>
      </x:c>
    </x:row>
    <x:row r="66">
      <x:c r="C66" s="72"/>
    </x:row>
    <x:row r="67">
      <x:c r="C67" s="72" t="str">
        <x:v>No tax return, appraisal, legal compliance, guaranty capacity or refinancing approval is</x:v>
      </x:c>
    </x:row>
    <x:row r="68">
      <x:c r="C68" s="72" t="str">
        <x:v>established by the calculations.</x:v>
      </x:c>
    </x:row>
    <x:row r="69">
      <x:c r="C69" s="72"/>
    </x:row>
    <x:row r="70">
      <x:c r="C70" s="72" t="str">
        <x:v>Calculation methods and conventions are shown here. Check Review and replace</x:v>
      </x:c>
    </x:row>
    <x:row r="71">
      <x:c r="C71" s="72" t="str">
        <x:v>illustrative inputs before relying on results.</x:v>
      </x:c>
    </x:row>
    <x:row r="72">
      <x:c r="C72" s="72"/>
    </x:row>
    <x:row r="73">
      <x:c r="C73" s="72"/>
    </x:row>
    <x:row r="74">
      <x:c r="C74" s="72"/>
    </x:row>
  </x:sheetData>
  <x:conditionalFormatting sqref="D10:D16">
    <x:cfRule type="expression" dxfId="5" priority="1">
      <x:formula>ABS(D10)&gt;0.01</x:formula>
    </x:cfRule>
  </x:conditionalFormatting>
  <x:pageMargins left="0.7" right="0.7" top="0.75" bottom="0.75" header="0.3" footer="0.3"/>
</x:worksheet>
</file>