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00be98c206143e9" /></Relationships>
</file>

<file path=xl/workbook.xml><?xml version="1.0" encoding="utf-8"?>
<x:workbook xmlns:x="http://schemas.openxmlformats.org/spreadsheetml/2006/main">
  <x:sheets>
    <x:sheet xmlns:r="http://schemas.openxmlformats.org/officeDocument/2006/relationships" name="Summary" sheetId="1" r:id="R245f3723e1df4573"/>
    <x:sheet xmlns:r="http://schemas.openxmlformats.org/officeDocument/2006/relationships" name="Assumptions" sheetId="2" r:id="R256540875690447e"/>
    <x:sheet xmlns:r="http://schemas.openxmlformats.org/officeDocument/2006/relationships" name="Anchor and Shop Cash" sheetId="3" r:id="R4775a9ef43cc40a8"/>
    <x:sheet xmlns:r="http://schemas.openxmlformats.org/officeDocument/2006/relationships" name="Operations" sheetId="4" r:id="R4b8a65ebba5240f5"/>
    <x:sheet xmlns:r="http://schemas.openxmlformats.org/officeDocument/2006/relationships" name="Debt and Funding" sheetId="5" r:id="Rff1a66880ee84ead"/>
    <x:sheet xmlns:r="http://schemas.openxmlformats.org/officeDocument/2006/relationships" name="Review" sheetId="6" r:id="R95e7af0e8c4f44c3"/>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5">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6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1ad96e637924e8e" /><Relationship Type="http://schemas.openxmlformats.org/officeDocument/2006/relationships/theme" Target="/xl/theme/theme1.xml" Id="R820d43e42963419c" /><Relationship Type="http://schemas.openxmlformats.org/officeDocument/2006/relationships/sharedStrings" Target="/xl/sharedStrings.xml" Id="Rd9391cc5ad9f48e3" /><Relationship Type="http://schemas.openxmlformats.org/officeDocument/2006/relationships/worksheet" Target="/xl/worksheets/sheet1.xml" Id="R245f3723e1df4573" /><Relationship Type="http://schemas.openxmlformats.org/officeDocument/2006/relationships/worksheet" Target="/xl/worksheets/sheet2.xml" Id="R256540875690447e" /><Relationship Type="http://schemas.openxmlformats.org/officeDocument/2006/relationships/worksheet" Target="/xl/worksheets/sheet3.xml" Id="R4775a9ef43cc40a8" /><Relationship Type="http://schemas.openxmlformats.org/officeDocument/2006/relationships/worksheet" Target="/xl/worksheets/sheet4.xml" Id="R4b8a65ebba5240f5" /><Relationship Type="http://schemas.openxmlformats.org/officeDocument/2006/relationships/worksheet" Target="/xl/worksheets/sheet5.xml" Id="Rff1a66880ee84ead" /><Relationship Type="http://schemas.openxmlformats.org/officeDocument/2006/relationships/worksheet" Target="/xl/worksheets/sheet6.xml" Id="R95e7af0e8c4f44c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Grocery-anchored shopping centers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Operating revenue</x:v>
      </x:c>
      <x:c r="D10" s="47" t="n">
        <x:f>'Operations'!E15</x:f>
        <x:v>1876792</x:v>
      </x:c>
      <x:c r="E10" s="2"/>
      <x:c r="F10" s="2"/>
      <x:c r="G10" s="65" t="n">
        <x:f>'Operations'!G9</x:f>
        <x:v>46388</x:v>
      </x:c>
      <x:c r="H10" s="66" t="n">
        <x:f>'Debt and Funding'!G36</x:f>
        <x:v>40580.19999999999</x:v>
      </x:c>
      <x:c r="I10" s="66" t="n">
        <x:f>'Debt and Funding'!G37</x:f>
        <x:v>490580.2</x:v>
      </x:c>
      <x:c r="J10" s="66" t="n">
        <x:f>'Debt and Funding'!G33</x:f>
        <x:v>9500000</x:v>
      </x:c>
      <x:c r="K10" s="2"/>
      <x:c r="L10" s="2"/>
    </x:row>
    <x:row r="11" ht="21" customHeight="1">
      <x:c r="A11" s="2"/>
      <x:c r="B11" s="2"/>
      <x:c r="C11" s="2" t="str">
        <x:v>Cash operating costs</x:v>
      </x:c>
      <x:c r="D11" s="47" t="n">
        <x:f>'Operations'!E19</x:f>
        <x:v>746000</x:v>
      </x:c>
      <x:c r="E11" s="2"/>
      <x:c r="F11" s="2"/>
      <x:c r="G11" s="65" t="n">
        <x:f>'Operations'!H9</x:f>
        <x:v>46419</x:v>
      </x:c>
      <x:c r="H11" s="66" t="n">
        <x:f>'Debt and Funding'!H36</x:f>
        <x:v>40580.19999999999</x:v>
      </x:c>
      <x:c r="I11" s="66" t="n">
        <x:f>'Debt and Funding'!H37</x:f>
        <x:v>531160.4</x:v>
      </x:c>
      <x:c r="J11" s="66" t="n">
        <x:f>'Debt and Funding'!H33</x:f>
        <x:v>9500000</x:v>
      </x:c>
      <x:c r="K11" s="2"/>
      <x:c r="L11" s="2"/>
    </x:row>
    <x:row r="12" ht="21" customHeight="1">
      <x:c r="A12" s="2"/>
      <x:c r="B12" s="2"/>
      <x:c r="C12" s="2" t="str">
        <x:v>NOI / operating cash</x:v>
      </x:c>
      <x:c r="D12" s="47" t="n">
        <x:f>'Operations'!E20</x:f>
        <x:v>1130792.0000000002</x:v>
      </x:c>
      <x:c r="E12" s="2"/>
      <x:c r="F12" s="2"/>
      <x:c r="G12" s="65" t="n">
        <x:f>'Operations'!I9</x:f>
        <x:v>46447</x:v>
      </x:c>
      <x:c r="H12" s="66" t="n">
        <x:f>'Debt and Funding'!I36</x:f>
        <x:v>40580.19999999999</x:v>
      </x:c>
      <x:c r="I12" s="66" t="n">
        <x:f>'Debt and Funding'!I37</x:f>
        <x:v>571740.6</x:v>
      </x:c>
      <x:c r="J12" s="66" t="n">
        <x:f>'Debt and Funding'!I33</x:f>
        <x:v>9500000</x:v>
      </x:c>
      <x:c r="K12" s="2"/>
      <x:c r="L12" s="2"/>
    </x:row>
    <x:row r="13" ht="21" customHeight="1">
      <x:c r="A13" s="2"/>
      <x:c r="B13" s="2"/>
      <x:c r="C13" s="2" t="str">
        <x:v>Annual reserve deposits</x:v>
      </x:c>
      <x:c r="D13" s="47" t="n">
        <x:f>'Operations'!E21</x:f>
        <x:v>56303.76000000001</x:v>
      </x:c>
      <x:c r="E13" s="2"/>
      <x:c r="F13" s="2"/>
      <x:c r="G13" s="65" t="n">
        <x:f>'Operations'!J9</x:f>
        <x:v>46478</x:v>
      </x:c>
      <x:c r="H13" s="66" t="n">
        <x:f>'Debt and Funding'!J36</x:f>
        <x:v>40580.19999999999</x:v>
      </x:c>
      <x:c r="I13" s="66" t="n">
        <x:f>'Debt and Funding'!J37</x:f>
        <x:v>612320.7999999999</x:v>
      </x:c>
      <x:c r="J13" s="66" t="n">
        <x:f>'Debt and Funding'!J33</x:f>
        <x:v>9500000</x:v>
      </x:c>
      <x:c r="K13" s="2"/>
      <x:c r="L13" s="2"/>
    </x:row>
    <x:row r="14" ht="21" customHeight="1">
      <x:c r="A14" s="2"/>
      <x:c r="B14" s="2"/>
      <x:c r="C14" s="2" t="str">
        <x:v>Cash NCF before debt and capital</x:v>
      </x:c>
      <x:c r="D14" s="47" t="n">
        <x:f>'Operations'!E22</x:f>
        <x:v>1074488.2399999998</x:v>
      </x:c>
      <x:c r="E14" s="2"/>
      <x:c r="F14" s="2"/>
      <x:c r="G14" s="65" t="n">
        <x:f>'Operations'!K9</x:f>
        <x:v>46508</x:v>
      </x:c>
      <x:c r="H14" s="66" t="n">
        <x:f>'Debt and Funding'!K36</x:f>
        <x:v>40580.19999999999</x:v>
      </x:c>
      <x:c r="I14" s="66" t="n">
        <x:f>'Debt and Funding'!K37</x:f>
        <x:v>652900.9999999999</x:v>
      </x:c>
      <x:c r="J14" s="66" t="n">
        <x:f>'Debt and Funding'!K33</x:f>
        <x:v>9500000</x:v>
      </x:c>
      <x:c r="K14" s="2"/>
      <x:c r="L14" s="2"/>
    </x:row>
    <x:row r="15" ht="21" customHeight="1">
      <x:c r="A15" s="2"/>
      <x:c r="B15" s="2"/>
      <x:c r="C15" s="2" t="str">
        <x:v>Annual underwritten NCF</x:v>
      </x:c>
      <x:c r="D15" s="47" t="n">
        <x:f>'Debt and Funding'!D9</x:f>
        <x:v>1074488.2399999998</x:v>
      </x:c>
      <x:c r="E15" s="2"/>
      <x:c r="F15" s="2"/>
      <x:c r="G15" s="65" t="n">
        <x:f>'Operations'!L9</x:f>
        <x:v>46539</x:v>
      </x:c>
      <x:c r="H15" s="66" t="n">
        <x:f>'Debt and Funding'!L36</x:f>
        <x:v>15086.659999999996</x:v>
      </x:c>
      <x:c r="I15" s="66" t="n">
        <x:f>'Debt and Funding'!L37</x:f>
        <x:v>667987.6599999999</x:v>
      </x:c>
      <x:c r="J15" s="66" t="n">
        <x:f>'Debt and Funding'!L33</x:f>
        <x:v>9500000</x:v>
      </x:c>
      <x:c r="K15" s="2"/>
      <x:c r="L15" s="2"/>
    </x:row>
    <x:row r="16" ht="21" customHeight="1">
      <x:c r="A16" s="2"/>
      <x:c r="B16" s="2"/>
      <x:c r="C16" s="2" t="str">
        <x:v>DSCR loan capacity</x:v>
      </x:c>
      <x:c r="D16" s="47" t="n">
        <x:f>'Debt and Funding'!D11</x:f>
        <x:v>10608973.576400222</x:v>
      </x:c>
      <x:c r="E16" s="2"/>
      <x:c r="F16" s="2"/>
      <x:c r="G16" s="65" t="n">
        <x:f>'Operations'!M9</x:f>
        <x:v>46569</x:v>
      </x:c>
      <x:c r="H16" s="66" t="n">
        <x:f>'Debt and Funding'!M36</x:f>
        <x:v>2400.3130053073764</x:v>
      </x:c>
      <x:c r="I16" s="66" t="n">
        <x:f>'Debt and Funding'!M37</x:f>
        <x:v>670387.9730053073</x:v>
      </x:c>
      <x:c r="J16" s="66" t="n">
        <x:f>'Debt and Funding'!M33</x:f>
        <x:v>9487313.653005308</x:v>
      </x:c>
      <x:c r="K16" s="2"/>
      <x:c r="L16" s="2"/>
    </x:row>
    <x:row r="17" ht="21" customHeight="1">
      <x:c r="A17" s="2"/>
      <x:c r="B17" s="2"/>
      <x:c r="C17" s="2" t="str">
        <x:v>LTV loan capacity</x:v>
      </x:c>
      <x:c r="D17" s="47" t="n">
        <x:f>'Debt and Funding'!D12</x:f>
        <x:v>10400000</x:v>
      </x:c>
      <x:c r="E17" s="2"/>
      <x:c r="F17" s="2"/>
      <x:c r="G17" s="65" t="n">
        <x:f>'Operations'!N9</x:f>
        <x:v>46600</x:v>
      </x:c>
      <x:c r="H17" s="66" t="n">
        <x:f>'Debt and Funding'!N36</x:f>
        <x:v>2400.3130053073764</x:v>
      </x:c>
      <x:c r="I17" s="66" t="n">
        <x:f>'Debt and Funding'!N37</x:f>
        <x:v>672788.2860106146</x:v>
      </x:c>
      <x:c r="J17" s="66" t="n">
        <x:f>'Debt and Funding'!N33</x:f>
        <x:v>9474558.588297727</x:v>
      </x:c>
      <x:c r="K17" s="2"/>
      <x:c r="L17" s="2"/>
    </x:row>
    <x:row r="18" ht="21" customHeight="1">
      <x:c r="A18" s="2"/>
      <x:c r="B18" s="2"/>
      <x:c r="C18" s="2" t="str">
        <x:v>Debt-yield loan capacity</x:v>
      </x:c>
      <x:c r="D18" s="47" t="n">
        <x:f>'Debt and Funding'!D13</x:f>
        <x:v>11938758.22222222</x:v>
      </x:c>
      <x:c r="E18" s="2"/>
      <x:c r="F18" s="2"/>
      <x:c r="G18" s="65" t="n">
        <x:f>'Operations'!O9</x:f>
        <x:v>46631</x:v>
      </x:c>
      <x:c r="H18" s="66" t="n">
        <x:f>'Debt and Funding'!O36</x:f>
        <x:v>-371599.6869946926</x:v>
      </x:c>
      <x:c r="I18" s="66" t="n">
        <x:f>'Debt and Funding'!O37</x:f>
        <x:v>301188.599015922</x:v>
      </x:c>
      <x:c r="J18" s="66" t="n">
        <x:f>'Debt and Funding'!O33</x:f>
        <x:v>9461734.433656313</x:v>
      </x:c>
      <x:c r="K18" s="2"/>
      <x:c r="L18" s="2"/>
    </x:row>
    <x:row r="19" ht="21" customHeight="1">
      <x:c r="A19" s="2"/>
      <x:c r="B19" s="2"/>
      <x:c r="C19" s="53" t="str">
        <x:v>Sized loan</x:v>
      </x:c>
      <x:c r="D19" s="62" t="n">
        <x:f>'Debt and Funding'!D14</x:f>
        <x:v>9500000</x:v>
      </x:c>
      <x:c r="E19" s="2"/>
      <x:c r="F19" s="2"/>
      <x:c r="G19" s="65" t="n">
        <x:f>'Operations'!P9</x:f>
        <x:v>46661</x:v>
      </x:c>
      <x:c r="H19" s="66" t="n">
        <x:f>'Debt and Funding'!P36</x:f>
        <x:v>27893.85300530737</x:v>
      </x:c>
      <x:c r="I19" s="66" t="n">
        <x:f>'Debt and Funding'!P37</x:f>
        <x:v>329082.4520212294</x:v>
      </x:c>
      <x:c r="J19" s="66" t="n">
        <x:f>'Debt and Funding'!P33</x:f>
        <x:v>9448840.814843925</x:v>
      </x:c>
      <x:c r="K19" s="2"/>
      <x:c r="L19" s="2"/>
    </x:row>
    <x:row r="20" ht="21" customHeight="1">
      <x:c r="A20" s="2"/>
      <x:c r="B20" s="2"/>
      <x:c r="C20" s="2" t="str">
        <x:v>Binding constraint (ties may exist)</x:v>
      </x:c>
      <x:c r="D20" s="63" t="str">
        <x:f>'Debt and Funding'!D15</x:f>
        <x:v>Requested ceiling</x:v>
      </x:c>
      <x:c r="E20" s="2"/>
      <x:c r="F20" s="2"/>
      <x:c r="G20" s="65" t="n">
        <x:f>'Operations'!Q9</x:f>
        <x:v>46692</x:v>
      </x:c>
      <x:c r="H20" s="66" t="n">
        <x:f>'Debt and Funding'!Q36</x:f>
        <x:v>27893.85300530737</x:v>
      </x:c>
      <x:c r="I20" s="66" t="n">
        <x:f>'Debt and Funding'!Q37</x:f>
        <x:v>356976.30502653675</x:v>
      </x:c>
      <x:c r="J20" s="66" t="n">
        <x:f>'Debt and Funding'!Q33</x:f>
        <x:v>9435877.355596304</x:v>
      </x:c>
      <x:c r="K20" s="2"/>
      <x:c r="L20" s="2"/>
    </x:row>
    <x:row r="21" ht="21" customHeight="1">
      <x:c r="A21" s="2"/>
      <x:c r="B21" s="2"/>
      <x:c r="C21" s="2" t="str">
        <x:v>First-year debt service</x:v>
      </x:c>
      <x:c r="D21" s="47" t="n">
        <x:f>'Debt and Funding'!D43</x:f>
        <x:v>693618.0819681557</x:v>
      </x:c>
      <x:c r="E21" s="2"/>
      <x:c r="F21" s="2"/>
      <x:c r="G21" s="65" t="n">
        <x:f>'Operations'!R9</x:f>
        <x:v>46722</x:v>
      </x:c>
      <x:c r="H21" s="66" t="n">
        <x:f>'Debt and Funding'!R36</x:f>
        <x:v>27893.85300530737</x:v>
      </x:c>
      <x:c r="I21" s="66" t="n">
        <x:f>'Debt and Funding'!R37</x:f>
        <x:v>384870.1580318441</x:v>
      </x:c>
      <x:c r="J21" s="66" t="n">
        <x:f>'Debt and Funding'!R33</x:f>
        <x:v>9422843.677611092</x:v>
      </x:c>
      <x:c r="K21" s="2"/>
      <x:c r="L21" s="2"/>
    </x:row>
    <x:row r="22" ht="21" customHeight="1">
      <x:c r="A22" s="2"/>
      <x:c r="B22" s="2"/>
      <x:c r="C22" s="2" t="str">
        <x:v>First-year underwritten DSCR</x:v>
      </x:c>
      <x:c r="D22" s="64" t="n">
        <x:f>'Debt and Funding'!D44</x:f>
        <x:v>1.5491064433486468</x:v>
      </x:c>
      <x:c r="E22" s="2"/>
      <x:c r="F22" s="2"/>
      <x:c r="G22" s="2"/>
      <x:c r="H22" s="2"/>
      <x:c r="I22" s="2"/>
      <x:c r="J22" s="2"/>
      <x:c r="K22" s="2"/>
      <x:c r="L22" s="2"/>
    </x:row>
    <x:row r="23" ht="21" customHeight="1">
      <x:c r="A23" s="2"/>
      <x:c r="B23" s="2"/>
      <x:c r="C23" s="2" t="str">
        <x:v>Signed closing equity requirement</x:v>
      </x:c>
      <x:c r="D23" s="47" t="n">
        <x:f>'Debt and Funding'!D18</x:f>
        <x:v>6000000</x:v>
      </x:c>
      <x:c r="E23" s="2"/>
      <x:c r="F23" s="2"/>
      <x:c r="G23" s="2"/>
      <x:c r="H23" s="2"/>
      <x:c r="I23" s="2"/>
      <x:c r="J23" s="2"/>
      <x:c r="K23" s="2"/>
      <x:c r="L23" s="2"/>
    </x:row>
    <x:row r="24" ht="21" customHeight="1">
      <x:c r="A24" s="2"/>
      <x:c r="B24" s="2"/>
      <x:c r="C24" s="2" t="str">
        <x:v>Available equity less closing need</x:v>
      </x:c>
      <x:c r="D24" s="47" t="n">
        <x:f>'Debt and Funding'!D19</x:f>
        <x:v>1500000</x:v>
      </x:c>
      <x:c r="E24" s="2"/>
      <x:c r="F24" s="2"/>
      <x:c r="G24" s="2"/>
      <x:c r="H24" s="2"/>
      <x:c r="I24" s="2"/>
      <x:c r="J24" s="2"/>
      <x:c r="K24" s="2"/>
      <x:c r="L24" s="2"/>
    </x:row>
    <x:row r="25" ht="21" customHeight="1">
      <x:c r="A25" s="2"/>
      <x:c r="B25" s="2"/>
      <x:c r="C25" s="2" t="str">
        <x:v>Additional operating cash need</x:v>
      </x:c>
      <x:c r="D25" s="47" t="n">
        <x:f>'Debt and Funding'!D46</x:f>
        <x:v>0</x:v>
      </x:c>
      <x:c r="E25" s="2"/>
      <x:c r="F25" s="2"/>
      <x:c r="G25" s="2" t="str">
        <x:v>Start with Assumptions D5: 1 Base or 2 Downside.</x:v>
      </x:c>
      <x:c r="H25" s="2"/>
      <x:c r="I25" s="2"/>
      <x:c r="J25" s="2"/>
      <x:c r="K25" s="2"/>
      <x:c r="L25" s="2"/>
    </x:row>
    <x:row r="26" ht="21" customHeight="1">
      <x:c r="A26" s="2"/>
      <x:c r="B26" s="2"/>
      <x:c r="C26" s="53" t="str">
        <x:v>Sponsor cash after all modeled needs</x:v>
      </x:c>
      <x:c r="D26" s="62" t="n">
        <x:f>'Debt and Funding'!D47</x:f>
        <x:v>1500000</x:v>
      </x:c>
      <x:c r="E26" s="2"/>
      <x:c r="F26" s="2"/>
      <x:c r="G26" s="2"/>
      <x:c r="H26" s="2"/>
      <x:c r="I26" s="2"/>
      <x:c r="J26" s="2"/>
      <x:c r="K26" s="2"/>
      <x:c r="L26" s="2"/>
    </x:row>
    <x:row r="27" ht="21" customHeight="1">
      <x:c r="A27" s="2"/>
      <x:c r="B27" s="2"/>
      <x:c r="C27" s="2" t="str">
        <x:v>Year-end principal</x:v>
      </x:c>
      <x:c r="D27" s="47" t="n">
        <x:f>'Debt and Funding'!D45</x:f>
        <x:v>9422843.677611092</x:v>
      </x:c>
      <x:c r="E27" s="2"/>
      <x:c r="F27" s="2"/>
      <x:c r="G27" s="2" t="str">
        <x:v>Edit blue cells in Anchor and Shop Cash and Assumptions.</x:v>
      </x:c>
      <x:c r="H27" s="2"/>
      <x:c r="I27" s="2"/>
      <x:c r="J27" s="2"/>
      <x:c r="K27" s="2"/>
      <x:c r="L27" s="2"/>
    </x:row>
    <x:row r="28" ht="21" customHeight="1">
      <x:c r="A28" s="2"/>
      <x:c r="B28" s="2"/>
      <x:c r="C28" s="2" t="str">
        <x:v>Principal due at maturity</x:v>
      </x:c>
      <x:c r="D28" s="47" t="n">
        <x:f>'Debt and Funding'!D20</x:f>
        <x:v>8706695.89816864</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Property value</x:v>
      </x:c>
      <x:c r="D10" s="26" t="n">
        <x:f>IF($D$5=1,IF(ISNUMBER(D11),IF(AND(D11&gt;=0,D11&lt;=1000000000000),D11,"n.a."),"n.a."),IF($D$5=2,IF(ISNUMBER(D12),IF(AND(D12&gt;=0,D12&lt;=1000000000000),D12,"n.a."),"n.a."),"n.a."))</x:f>
        <x:v>16000000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16000000</x:v>
      </x:c>
      <x:c r="E11" s="2"/>
      <x:c r="F11" s="2"/>
      <x:c r="G11" s="2"/>
      <x:c r="H11" s="2"/>
      <x:c r="I11" s="2"/>
      <x:c r="J11" s="2"/>
    </x:row>
    <x:row r="12" ht="35" customHeight="1">
      <x:c r="A12" s="2"/>
      <x:c r="B12" s="2"/>
      <x:c r="C12" s="28" t="str">
        <x:v>Downside</x:v>
      </x:c>
      <x:c r="D12" s="27" t="n">
        <x:v>13500000</x:v>
      </x:c>
      <x:c r="E12" s="2"/>
      <x:c r="F12" s="2"/>
      <x:c r="G12" s="42" t="str">
        <x:v>Missing or invalid selected inputs return n.a.; a valid zero remains zero.</x:v>
      </x:c>
      <x:c r="H12" s="2"/>
      <x:c r="I12" s="2"/>
      <x:c r="J12" s="2"/>
    </x:row>
    <x:row r="13" ht="21" customHeight="1">
      <x:c r="A13" s="2"/>
      <x:c r="B13" s="2"/>
      <x:c r="C13" s="24" t="str">
        <x:v>Acquisition price</x:v>
      </x:c>
      <x:c r="D13" s="26" t="n">
        <x:f>IF($D$5=1,IF(ISNUMBER(D14),IF(AND(D14&gt;=0,D14&lt;=1000000000000),D14,"n.a."),"n.a."),IF($D$5=2,IF(ISNUMBER(D15),IF(AND(D15&gt;=0,D15&lt;=1000000000000),D15,"n.a."),"n.a."),"n.a."))</x:f>
        <x:v>14800000</x:v>
      </x:c>
      <x:c r="E13" s="22" t="str">
        <x:v>USD</x:v>
      </x:c>
      <x:c r="F13" s="2"/>
      <x:c r="G13" s="2"/>
      <x:c r="H13" s="2"/>
      <x:c r="I13" s="2"/>
      <x:c r="J13" s="2"/>
    </x:row>
    <x:row r="14" ht="35" customHeight="1">
      <x:c r="A14" s="2"/>
      <x:c r="B14" s="2"/>
      <x:c r="C14" s="28" t="str">
        <x:v>Base</x:v>
      </x:c>
      <x:c r="D14" s="27" t="n">
        <x:v>14800000</x:v>
      </x:c>
      <x:c r="E14" s="2"/>
      <x:c r="F14" s="2"/>
      <x:c r="G14" s="42" t="str">
        <x:v>Downside inputs feed the same model. Change D5 to recalculate.</x:v>
      </x:c>
      <x:c r="H14" s="2"/>
      <x:c r="I14" s="2"/>
      <x:c r="J14" s="2"/>
    </x:row>
    <x:row r="15" ht="21" customHeight="1">
      <x:c r="A15" s="2"/>
      <x:c r="B15" s="2"/>
      <x:c r="C15" s="28" t="str">
        <x:v>Downside</x:v>
      </x:c>
      <x:c r="D15" s="27" t="n">
        <x:v>14800000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150000</x:v>
      </x:c>
      <x:c r="E16" s="22" t="str">
        <x:v>USD</x:v>
      </x:c>
      <x:c r="F16" s="2"/>
      <x:c r="G16" s="42" t="str">
        <x:v>NCF adjustment changes sizing only, not cash actually available.</x:v>
      </x:c>
      <x:c r="H16" s="2"/>
      <x:c r="I16" s="2"/>
      <x:c r="J16" s="2"/>
    </x:row>
    <x:row r="17" ht="21" customHeight="1">
      <x:c r="A17" s="2"/>
      <x:c r="B17" s="2"/>
      <x:c r="C17" s="28" t="str">
        <x:v>Base</x:v>
      </x:c>
      <x:c r="D17" s="27" t="n">
        <x:v>150000</x:v>
      </x:c>
      <x:c r="E17" s="2"/>
      <x:c r="F17" s="2"/>
      <x:c r="G17" s="2"/>
      <x:c r="H17" s="2"/>
      <x:c r="I17" s="2"/>
      <x:c r="J17" s="2"/>
    </x:row>
    <x:row r="18" ht="35" customHeight="1">
      <x:c r="A18" s="2"/>
      <x:c r="B18" s="2"/>
      <x:c r="C18" s="28" t="str">
        <x:v>Downside</x:v>
      </x:c>
      <x:c r="D18" s="27" t="n">
        <x:v>150000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100000</x:v>
      </x:c>
      <x:c r="E19" s="22" t="str">
        <x:v>USD</x:v>
      </x:c>
      <x:c r="F19" s="2"/>
      <x:c r="G19" s="2"/>
      <x:c r="H19" s="2"/>
      <x:c r="I19" s="2"/>
      <x:c r="J19" s="2"/>
    </x:row>
    <x:row r="20" ht="35" customHeight="1">
      <x:c r="A20" s="2"/>
      <x:c r="B20" s="2"/>
      <x:c r="C20" s="28" t="str">
        <x:v>Base</x:v>
      </x:c>
      <x:c r="D20" s="27" t="n">
        <x:v>100000</x:v>
      </x:c>
      <x:c r="E20" s="2"/>
      <x:c r="F20" s="2"/>
      <x:c r="G20" s="42" t="str">
        <x:v>Restricted closing reserves are not available operating cash.</x:v>
      </x:c>
      <x:c r="H20" s="2"/>
      <x:c r="I20" s="2"/>
      <x:c r="J20" s="2"/>
    </x:row>
    <x:row r="21" ht="21" customHeight="1">
      <x:c r="A21" s="2"/>
      <x:c r="B21" s="2"/>
      <x:c r="C21" s="28" t="str">
        <x:v>Downside</x:v>
      </x:c>
      <x:c r="D21" s="27" t="n">
        <x:v>100000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450000</x:v>
      </x:c>
      <x:c r="E22" s="22" t="str">
        <x:v>USD</x:v>
      </x:c>
      <x:c r="F22" s="2"/>
      <x:c r="G22" s="42" t="str">
        <x:v>Opening operating cash is funded in closing uses exactly once.</x:v>
      </x:c>
      <x:c r="H22" s="2"/>
      <x:c r="I22" s="2"/>
      <x:c r="J22" s="2"/>
    </x:row>
    <x:row r="23" ht="21" customHeight="1">
      <x:c r="A23" s="2"/>
      <x:c r="B23" s="2"/>
      <x:c r="C23" s="28" t="str">
        <x:v>Base</x:v>
      </x:c>
      <x:c r="D23" s="27" t="n">
        <x:v>450000</x:v>
      </x:c>
      <x:c r="E23" s="2"/>
      <x:c r="F23" s="2"/>
      <x:c r="G23" s="2"/>
      <x:c r="H23" s="2"/>
      <x:c r="I23" s="2"/>
      <x:c r="J23" s="2"/>
    </x:row>
    <x:row r="24" ht="35" customHeight="1">
      <x:c r="A24" s="2"/>
      <x:c r="B24" s="2"/>
      <x:c r="C24" s="28" t="str">
        <x:v>Downside</x:v>
      </x:c>
      <x:c r="D24" s="27" t="n">
        <x:v>450000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7500000</x:v>
      </x:c>
      <x:c r="E25" s="22" t="str">
        <x:v>USD</x:v>
      </x:c>
      <x:c r="F25" s="2"/>
      <x:c r="G25" s="2"/>
      <x:c r="H25" s="2"/>
      <x:c r="I25" s="2"/>
      <x:c r="J25" s="2"/>
    </x:row>
    <x:row r="26" ht="21" customHeight="1">
      <x:c r="A26" s="2"/>
      <x:c r="B26" s="2"/>
      <x:c r="C26" s="28" t="str">
        <x:v>Base</x:v>
      </x:c>
      <x:c r="D26" s="27" t="n">
        <x:v>7500000</x:v>
      </x:c>
      <x:c r="E26" s="2"/>
      <x:c r="F26" s="2"/>
      <x:c r="G26" s="2"/>
      <x:c r="H26" s="2"/>
      <x:c r="I26" s="2"/>
      <x:c r="J26" s="2"/>
    </x:row>
    <x:row r="27" ht="21" customHeight="1">
      <x:c r="A27" s="2"/>
      <x:c r="B27" s="2"/>
      <x:c r="C27" s="28" t="str">
        <x:v>Downside</x:v>
      </x:c>
      <x:c r="D27" s="27" t="n">
        <x:v>7500000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9500000</x:v>
      </x:c>
      <x:c r="E28" s="22" t="str">
        <x:v>USD</x:v>
      </x:c>
      <x:c r="F28" s="2"/>
      <x:c r="G28" s="2"/>
      <x:c r="H28" s="2"/>
      <x:c r="I28" s="2"/>
      <x:c r="J28" s="2"/>
    </x:row>
    <x:row r="29" ht="21" customHeight="1">
      <x:c r="A29" s="2"/>
      <x:c r="B29" s="2"/>
      <x:c r="C29" s="28" t="str">
        <x:v>Base</x:v>
      </x:c>
      <x:c r="D29" s="27" t="n">
        <x:v>9500000</x:v>
      </x:c>
      <x:c r="E29" s="2"/>
      <x:c r="F29" s="2"/>
      <x:c r="G29" s="2"/>
      <x:c r="H29" s="2"/>
      <x:c r="I29" s="2"/>
      <x:c r="J29" s="2"/>
    </x:row>
    <x:row r="30" ht="75" customHeight="1">
      <x:c r="A30" s="2"/>
      <x:c r="B30" s="2"/>
      <x:c r="C30" s="28" t="str">
        <x:v>Downside</x:v>
      </x:c>
      <x:c r="D30" s="27" t="n">
        <x:v>9500000</x:v>
      </x:c>
      <x:c r="E30" s="2"/>
      <x:c r="F30" s="2"/>
      <x:c r="G30" s="42" t="str">
        <x:v>Anchor operation and anchor rent are separate inputs. A dark anchor can remain rent-paying. A zero operating fraction does not automatically eliminate its rent.</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Co-tenancy relief is a user-entered scenario: affected share times reduction times dark fraction of the month. The model does not interpret triggers, cure periods, alternate-rent provisions, termination rights or enforceability.</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Shop collection losses apply after the entered relief. Do not embed the same relief in normal shop rent or collection fraction. Recovery relief is a separate aggregate cash assumption; operating costs remain gross.</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Volume sensitivity changes normal shop rent, capped at full modeled occupancy, while anchor cash follows its own input. Capital is below NCF. Fixed costs must exclude the center operating expenses entered here.</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21" customHeight="1">
      <x:c r="A38" s="2"/>
      <x:c r="B38" s="2"/>
      <x:c r="C38" s="28" t="str">
        <x:v>Base</x:v>
      </x:c>
      <x:c r="D38" s="16" t="n">
        <x:v>6</x:v>
      </x:c>
      <x:c r="E38" s="2"/>
      <x:c r="F38" s="2"/>
      <x:c r="G38" s="2"/>
      <x:c r="H38" s="2"/>
      <x:c r="I38" s="2"/>
      <x:c r="J38" s="2"/>
    </x:row>
    <x:row r="39" ht="21" customHeight="1">
      <x:c r="A39" s="2"/>
      <x:c r="B39" s="2"/>
      <x:c r="C39" s="28" t="str">
        <x:v>Downside</x:v>
      </x:c>
      <x:c r="D39" s="16" t="n">
        <x:v>6</x:v>
      </x:c>
      <x:c r="E39" s="2"/>
      <x:c r="F39" s="2"/>
      <x:c r="G39" s="2"/>
      <x:c r="H39" s="2"/>
      <x:c r="I39" s="2"/>
      <x:c r="J39" s="2"/>
    </x:row>
    <x:row r="40" ht="21" customHeight="1">
      <x:c r="A40" s="2"/>
      <x:c r="B40" s="2"/>
      <x:c r="C40" s="24" t="str">
        <x:v>Loan term (months)</x:v>
      </x:c>
      <x:c r="D40" s="37" t="n">
        <x:f>IF($D$5=1,IF(ISNUMBER(D41),IF(AND(D41&gt;=12,D41&lt;=600,D41=INT(D41)),D41,"n.a."),"n.a."),IF($D$5=2,IF(ISNUMBER(D42),IF(AND(D42&gt;=12,D42&lt;=600,D42=INT(D42)),D42,"n.a."),"n.a."),"n.a."))</x:f>
        <x:v>60</x:v>
      </x:c>
      <x:c r="E40" s="22" t="str">
        <x:v>months</x:v>
      </x:c>
      <x:c r="F40" s="2"/>
      <x:c r="G40" s="2"/>
      <x:c r="H40" s="2"/>
      <x:c r="I40" s="2"/>
      <x:c r="J40" s="2"/>
    </x:row>
    <x:row r="41" ht="21" customHeight="1">
      <x:c r="A41" s="2"/>
      <x:c r="B41" s="2"/>
      <x:c r="C41" s="28" t="str">
        <x:v>Base</x:v>
      </x:c>
      <x:c r="D41" s="16" t="n">
        <x:v>60</x:v>
      </x:c>
      <x:c r="E41" s="2"/>
      <x:c r="F41" s="2"/>
      <x:c r="G41" s="2"/>
      <x:c r="H41" s="2"/>
      <x:c r="I41" s="2"/>
      <x:c r="J41" s="2"/>
    </x:row>
    <x:row r="42" ht="21" customHeight="1">
      <x:c r="A42" s="2"/>
      <x:c r="B42" s="2"/>
      <x:c r="C42" s="28" t="str">
        <x:v>Downside</x:v>
      </x:c>
      <x:c r="D42" s="16" t="n">
        <x:v>60</x:v>
      </x:c>
      <x:c r="E42" s="2"/>
      <x:c r="F42" s="2"/>
      <x:c r="G42" s="2"/>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21" customHeight="1">
      <x:c r="A44" s="2"/>
      <x:c r="B44" s="2"/>
      <x:c r="C44" s="34" t="str">
        <x:v>Base</x:v>
      </x:c>
      <x:c r="D44" s="35" t="n">
        <x:v>0.65</x:v>
      </x:c>
      <x:c r="E44" s="36"/>
      <x:c r="F44" s="2"/>
      <x:c r="G44" s="2"/>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-25000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230000</x:v>
      </x:c>
      <x:c r="E55" s="22" t="str">
        <x:v>USD</x:v>
      </x:c>
      <x:c r="F55" s="2"/>
      <x:c r="G55" s="2"/>
      <x:c r="H55" s="2"/>
      <x:c r="I55" s="2"/>
      <x:c r="J55" s="2"/>
    </x:row>
    <x:row r="56" ht="21" customHeight="1">
      <x:c r="A56" s="2"/>
      <x:c r="B56" s="2"/>
      <x:c r="C56" s="28" t="str">
        <x:v>Base</x:v>
      </x:c>
      <x:c r="D56" s="27" t="n">
        <x:v>230000</x:v>
      </x:c>
      <x:c r="E56" s="2"/>
      <x:c r="F56" s="2"/>
      <x:c r="G56" s="2"/>
      <x:c r="H56" s="2"/>
      <x:c r="I56" s="2"/>
      <x:c r="J56" s="2"/>
    </x:row>
    <x:row r="57" ht="21" customHeight="1">
      <x:c r="A57" s="2"/>
      <x:c r="B57" s="2"/>
      <x:c r="C57" s="28" t="str">
        <x:v>Downside</x:v>
      </x:c>
      <x:c r="D57" s="27" t="n">
        <x:v>260000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0.03</x:v>
      </x:c>
      <x:c r="E58" s="33" t="str">
        <x:v>%</x:v>
      </x:c>
      <x:c r="F58" s="2"/>
      <x:c r="G58" s="2"/>
      <x:c r="H58" s="2"/>
      <x:c r="I58" s="2"/>
      <x:c r="J58" s="2"/>
    </x:row>
    <x:row r="59" ht="21" customHeight="1">
      <x:c r="A59" s="2"/>
      <x:c r="B59" s="2"/>
      <x:c r="C59" s="34" t="str">
        <x:v>Base</x:v>
      </x:c>
      <x:c r="D59" s="35" t="n">
        <x:v>0.03</x:v>
      </x:c>
      <x:c r="E59" s="36"/>
      <x:c r="F59" s="2"/>
      <x:c r="G59" s="2"/>
      <x:c r="H59" s="2"/>
      <x:c r="I59" s="2"/>
      <x:c r="J59" s="2"/>
    </x:row>
    <x:row r="60" ht="21" customHeight="1">
      <x:c r="A60" s="2"/>
      <x:c r="B60" s="2"/>
      <x:c r="C60" s="34" t="str">
        <x:v>Downside</x:v>
      </x:c>
      <x:c r="D60" s="35" t="n">
        <x:v>0.04</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
      <x:c r="D73" s="2"/>
      <x:c r="E73" s="2"/>
      <x:c r="F73" s="2"/>
      <x:c r="G73" s="2"/>
      <x:c r="H73" s="2"/>
      <x:c r="I73" s="2"/>
      <x:c r="J73" s="2"/>
    </x:row>
    <x:row r="74" ht="21" customHeight="1">
      <x:c r="A74" s="2"/>
      <x:c r="B74" s="2"/>
      <x:c r="C74" s="2"/>
      <x:c r="D74" s="2"/>
      <x:c r="E74" s="2"/>
      <x:c r="F74" s="2"/>
      <x:c r="G74" s="2"/>
      <x:c r="H74" s="2"/>
      <x:c r="I74" s="2"/>
      <x:c r="J74" s="2"/>
    </x:row>
    <x:row r="75" ht="21" customHeight="1">
      <x:c r="A75" s="2"/>
      <x:c r="B75" s="2"/>
      <x:c r="C75" s="2"/>
      <x:c r="D75" s="2"/>
      <x:c r="E75" s="2"/>
      <x:c r="F75" s="2"/>
      <x:c r="G75" s="2"/>
      <x:c r="H75" s="2"/>
      <x:c r="I75" s="2"/>
      <x:c r="J75" s="2"/>
    </x:row>
    <x:row r="76" ht="21" customHeight="1">
      <x:c r="A76" s="2"/>
      <x:c r="B76" s="2"/>
      <x:c r="C76" s="2"/>
      <x:c r="D76" s="2"/>
      <x:c r="E76" s="2"/>
      <x:c r="F76" s="2"/>
      <x:c r="G76" s="2"/>
      <x:c r="H76" s="2"/>
      <x:c r="I76" s="2"/>
      <x:c r="J76" s="2"/>
    </x:row>
    <x:row r="77" ht="21" customHeight="1">
      <x:c r="A77" s="2"/>
      <x:c r="B77" s="2"/>
      <x:c r="C77" s="2"/>
      <x:c r="D77" s="2"/>
      <x:c r="E77" s="2"/>
      <x:c r="F77" s="2"/>
      <x:c r="G77" s="2"/>
      <x:c r="H77" s="2"/>
      <x:c r="I77" s="2"/>
      <x:c r="J77" s="2"/>
    </x:row>
    <x:row r="78" ht="21" customHeight="1">
      <x:c r="A78" s="2"/>
      <x:c r="B78" s="2"/>
      <x:c r="C78" s="2"/>
      <x:c r="D78" s="2"/>
      <x:c r="E78" s="2"/>
      <x:c r="F78" s="2"/>
      <x:c r="G78" s="2"/>
      <x:c r="H78" s="2"/>
      <x:c r="I78" s="2"/>
      <x:c r="J78" s="2"/>
    </x:row>
  </x:sheetData>
  <x:dataValidations count="44">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Anchor and Shop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Anchor operating fraction of month</x:v>
      </x:c>
      <x:c r="E9" s="21" t="str">
        <x:v>Anchor rent actually collectible</x:v>
      </x:c>
      <x:c r="F9" s="21" t="str">
        <x:v>Normal monthly shop base rent</x:v>
      </x:c>
      <x:c r="G9" s="21" t="str">
        <x:v>Shop rent affected by co-tenancy</x:v>
      </x:c>
      <x:c r="H9" s="21" t="str">
        <x:v>Affected rent reduction when dark</x:v>
      </x:c>
      <x:c r="I9" s="21" t="str">
        <x:v>Shop rent collection fraction</x:v>
      </x:c>
      <x:c r="J9" s="21" t="str">
        <x:v>Normal monthly cash recoveries</x:v>
      </x:c>
      <x:c r="K9" s="21" t="str">
        <x:v>Recovery reduction when dark</x:v>
      </x:c>
      <x:c r="L9" s="21" t="str">
        <x:v>Center operating costs</x:v>
      </x:c>
      <x:c r="M9" s="21" t="str">
        <x:v>Anchor and center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30" t="n">
        <x:v>1</x:v>
      </x:c>
      <x:c r="E10" s="27" t="n">
        <x:v>42000</x:v>
      </x:c>
      <x:c r="F10" s="27" t="n">
        <x:v>92000</x:v>
      </x:c>
      <x:c r="G10" s="30" t="n">
        <x:v>0.4</x:v>
      </x:c>
      <x:c r="H10" s="30" t="n">
        <x:v>0.5</x:v>
      </x:c>
      <x:c r="I10" s="30" t="n">
        <x:v>0.98</x:v>
      </x:c>
      <x:c r="J10" s="27" t="n">
        <x:v>33000</x:v>
      </x:c>
      <x:c r="K10" s="30" t="n">
        <x:v>0.25</x:v>
      </x:c>
      <x:c r="L10" s="27" t="n">
        <x:v>43000</x:v>
      </x:c>
      <x:c r="M10" s="27" t="n">
        <x:v>6000</x:v>
      </x:c>
      <x:c r="N10" s="13" t="str">
        <x:f>IF(AND(IF(ISNUMBER(D10),AND(D10&gt;=0,D10&lt;=1),FALSE),IF(ISNUMBER(E10),AND(E10&gt;=0,E10&lt;=1000000000000),FALSE),IF(ISNUMBER(F10),AND(F10&gt;=0,F10&lt;=1000000000000),FALSE),IF(ISNUMBER(G10),AND(G10&gt;=0,G10&lt;=1),FALSE),IF(ISNUMBER(H10),AND(H10&gt;=0,H10&lt;=1),FALSE),IF(ISNUMBER(I10),AND(I10&gt;=0,I10&lt;=1),FALSE),IF(ISNUMBER(J10),AND(J10&gt;=0,J10&lt;=1000000000000),FALSE),IF(ISNUMBER(K10),AND(K10&gt;=0,K10&lt;=1),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30" t="n">
        <x:v>1</x:v>
      </x:c>
      <x:c r="E11" s="27" t="n">
        <x:v>42000</x:v>
      </x:c>
      <x:c r="F11" s="27" t="n">
        <x:v>92000</x:v>
      </x:c>
      <x:c r="G11" s="30" t="n">
        <x:v>0.4</x:v>
      </x:c>
      <x:c r="H11" s="30" t="n">
        <x:v>0.5</x:v>
      </x:c>
      <x:c r="I11" s="30" t="n">
        <x:v>0.98</x:v>
      </x:c>
      <x:c r="J11" s="27" t="n">
        <x:v>33000</x:v>
      </x:c>
      <x:c r="K11" s="30" t="n">
        <x:v>0.25</x:v>
      </x:c>
      <x:c r="L11" s="27" t="n">
        <x:v>43000</x:v>
      </x:c>
      <x:c r="M11" s="27" t="n">
        <x:v>6000</x:v>
      </x:c>
      <x:c r="N11" s="13" t="str">
        <x:f>IF(AND(IF(ISNUMBER(D11),AND(D11&gt;=0,D11&lt;=1),FALSE),IF(ISNUMBER(E11),AND(E11&gt;=0,E11&lt;=1000000000000),FALSE),IF(ISNUMBER(F11),AND(F11&gt;=0,F11&lt;=1000000000000),FALSE),IF(ISNUMBER(G11),AND(G11&gt;=0,G11&lt;=1),FALSE),IF(ISNUMBER(H11),AND(H11&gt;=0,H11&lt;=1),FALSE),IF(ISNUMBER(I11),AND(I11&gt;=0,I11&lt;=1),FALSE),IF(ISNUMBER(J11),AND(J11&gt;=0,J11&lt;=1000000000000),FALSE),IF(ISNUMBER(K11),AND(K11&gt;=0,K11&lt;=1),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30" t="n">
        <x:v>1</x:v>
      </x:c>
      <x:c r="E12" s="27" t="n">
        <x:v>42000</x:v>
      </x:c>
      <x:c r="F12" s="27" t="n">
        <x:v>92000</x:v>
      </x:c>
      <x:c r="G12" s="30" t="n">
        <x:v>0.4</x:v>
      </x:c>
      <x:c r="H12" s="30" t="n">
        <x:v>0.5</x:v>
      </x:c>
      <x:c r="I12" s="30" t="n">
        <x:v>0.98</x:v>
      </x:c>
      <x:c r="J12" s="27" t="n">
        <x:v>33000</x:v>
      </x:c>
      <x:c r="K12" s="30" t="n">
        <x:v>0.25</x:v>
      </x:c>
      <x:c r="L12" s="27" t="n">
        <x:v>43000</x:v>
      </x:c>
      <x:c r="M12" s="27" t="n">
        <x:v>6000</x:v>
      </x:c>
      <x:c r="N12" s="13" t="str">
        <x:f>IF(AND(IF(ISNUMBER(D12),AND(D12&gt;=0,D12&lt;=1),FALSE),IF(ISNUMBER(E12),AND(E12&gt;=0,E12&lt;=1000000000000),FALSE),IF(ISNUMBER(F12),AND(F12&gt;=0,F12&lt;=1000000000000),FALSE),IF(ISNUMBER(G12),AND(G12&gt;=0,G12&lt;=1),FALSE),IF(ISNUMBER(H12),AND(H12&gt;=0,H12&lt;=1),FALSE),IF(ISNUMBER(I12),AND(I12&gt;=0,I12&lt;=1),FALSE),IF(ISNUMBER(J12),AND(J12&gt;=0,J12&lt;=1000000000000),FALSE),IF(ISNUMBER(K12),AND(K12&gt;=0,K12&lt;=1),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30" t="n">
        <x:v>1</x:v>
      </x:c>
      <x:c r="E13" s="27" t="n">
        <x:v>42000</x:v>
      </x:c>
      <x:c r="F13" s="27" t="n">
        <x:v>92000</x:v>
      </x:c>
      <x:c r="G13" s="30" t="n">
        <x:v>0.4</x:v>
      </x:c>
      <x:c r="H13" s="30" t="n">
        <x:v>0.5</x:v>
      </x:c>
      <x:c r="I13" s="30" t="n">
        <x:v>0.98</x:v>
      </x:c>
      <x:c r="J13" s="27" t="n">
        <x:v>33000</x:v>
      </x:c>
      <x:c r="K13" s="30" t="n">
        <x:v>0.25</x:v>
      </x:c>
      <x:c r="L13" s="27" t="n">
        <x:v>43000</x:v>
      </x:c>
      <x:c r="M13" s="27" t="n">
        <x:v>6000</x:v>
      </x:c>
      <x:c r="N13" s="13" t="str">
        <x:f>IF(AND(IF(ISNUMBER(D13),AND(D13&gt;=0,D13&lt;=1),FALSE),IF(ISNUMBER(E13),AND(E13&gt;=0,E13&lt;=1000000000000),FALSE),IF(ISNUMBER(F13),AND(F13&gt;=0,F13&lt;=1000000000000),FALSE),IF(ISNUMBER(G13),AND(G13&gt;=0,G13&lt;=1),FALSE),IF(ISNUMBER(H13),AND(H13&gt;=0,H13&lt;=1),FALSE),IF(ISNUMBER(I13),AND(I13&gt;=0,I13&lt;=1),FALSE),IF(ISNUMBER(J13),AND(J13&gt;=0,J13&lt;=1000000000000),FALSE),IF(ISNUMBER(K13),AND(K13&gt;=0,K13&lt;=1),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30" t="n">
        <x:v>1</x:v>
      </x:c>
      <x:c r="E14" s="27" t="n">
        <x:v>42000</x:v>
      </x:c>
      <x:c r="F14" s="27" t="n">
        <x:v>92000</x:v>
      </x:c>
      <x:c r="G14" s="30" t="n">
        <x:v>0.4</x:v>
      </x:c>
      <x:c r="H14" s="30" t="n">
        <x:v>0.5</x:v>
      </x:c>
      <x:c r="I14" s="30" t="n">
        <x:v>0.98</x:v>
      </x:c>
      <x:c r="J14" s="27" t="n">
        <x:v>33000</x:v>
      </x:c>
      <x:c r="K14" s="30" t="n">
        <x:v>0.25</x:v>
      </x:c>
      <x:c r="L14" s="27" t="n">
        <x:v>43000</x:v>
      </x:c>
      <x:c r="M14" s="27" t="n">
        <x:v>6000</x:v>
      </x:c>
      <x:c r="N14" s="13" t="str">
        <x:f>IF(AND(IF(ISNUMBER(D14),AND(D14&gt;=0,D14&lt;=1),FALSE),IF(ISNUMBER(E14),AND(E14&gt;=0,E14&lt;=1000000000000),FALSE),IF(ISNUMBER(F14),AND(F14&gt;=0,F14&lt;=1000000000000),FALSE),IF(ISNUMBER(G14),AND(G14&gt;=0,G14&lt;=1),FALSE),IF(ISNUMBER(H14),AND(H14&gt;=0,H14&lt;=1),FALSE),IF(ISNUMBER(I14),AND(I14&gt;=0,I14&lt;=1),FALSE),IF(ISNUMBER(J14),AND(J14&gt;=0,J14&lt;=1000000000000),FALSE),IF(ISNUMBER(K14),AND(K14&gt;=0,K14&lt;=1),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30" t="n">
        <x:v>0</x:v>
      </x:c>
      <x:c r="E15" s="27" t="n">
        <x:v>42000</x:v>
      </x:c>
      <x:c r="F15" s="27" t="n">
        <x:v>92000</x:v>
      </x:c>
      <x:c r="G15" s="30" t="n">
        <x:v>0.4</x:v>
      </x:c>
      <x:c r="H15" s="30" t="n">
        <x:v>0.5</x:v>
      </x:c>
      <x:c r="I15" s="30" t="n">
        <x:v>0.98</x:v>
      </x:c>
      <x:c r="J15" s="27" t="n">
        <x:v>33000</x:v>
      </x:c>
      <x:c r="K15" s="30" t="n">
        <x:v>0.25</x:v>
      </x:c>
      <x:c r="L15" s="27" t="n">
        <x:v>43000</x:v>
      </x:c>
      <x:c r="M15" s="27" t="n">
        <x:v>6000</x:v>
      </x:c>
      <x:c r="N15" s="13" t="str">
        <x:f>IF(AND(IF(ISNUMBER(D15),AND(D15&gt;=0,D15&lt;=1),FALSE),IF(ISNUMBER(E15),AND(E15&gt;=0,E15&lt;=1000000000000),FALSE),IF(ISNUMBER(F15),AND(F15&gt;=0,F15&lt;=1000000000000),FALSE),IF(ISNUMBER(G15),AND(G15&gt;=0,G15&lt;=1),FALSE),IF(ISNUMBER(H15),AND(H15&gt;=0,H15&lt;=1),FALSE),IF(ISNUMBER(I15),AND(I15&gt;=0,I15&lt;=1),FALSE),IF(ISNUMBER(J15),AND(J15&gt;=0,J15&lt;=1000000000000),FALSE),IF(ISNUMBER(K15),AND(K15&gt;=0,K15&lt;=1),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30" t="n">
        <x:v>0</x:v>
      </x:c>
      <x:c r="E16" s="27" t="n">
        <x:v>42000</x:v>
      </x:c>
      <x:c r="F16" s="27" t="n">
        <x:v>92000</x:v>
      </x:c>
      <x:c r="G16" s="30" t="n">
        <x:v>0.4</x:v>
      </x:c>
      <x:c r="H16" s="30" t="n">
        <x:v>0.5</x:v>
      </x:c>
      <x:c r="I16" s="30" t="n">
        <x:v>0.98</x:v>
      </x:c>
      <x:c r="J16" s="27" t="n">
        <x:v>33000</x:v>
      </x:c>
      <x:c r="K16" s="30" t="n">
        <x:v>0.25</x:v>
      </x:c>
      <x:c r="L16" s="27" t="n">
        <x:v>43000</x:v>
      </x:c>
      <x:c r="M16" s="27" t="n">
        <x:v>6000</x:v>
      </x:c>
      <x:c r="N16" s="13" t="str">
        <x:f>IF(AND(IF(ISNUMBER(D16),AND(D16&gt;=0,D16&lt;=1),FALSE),IF(ISNUMBER(E16),AND(E16&gt;=0,E16&lt;=1000000000000),FALSE),IF(ISNUMBER(F16),AND(F16&gt;=0,F16&lt;=1000000000000),FALSE),IF(ISNUMBER(G16),AND(G16&gt;=0,G16&lt;=1),FALSE),IF(ISNUMBER(H16),AND(H16&gt;=0,H16&lt;=1),FALSE),IF(ISNUMBER(I16),AND(I16&gt;=0,I16&lt;=1),FALSE),IF(ISNUMBER(J16),AND(J16&gt;=0,J16&lt;=1000000000000),FALSE),IF(ISNUMBER(K16),AND(K16&gt;=0,K16&lt;=1),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30" t="n">
        <x:v>0</x:v>
      </x:c>
      <x:c r="E17" s="27" t="n">
        <x:v>42000</x:v>
      </x:c>
      <x:c r="F17" s="27" t="n">
        <x:v>92000</x:v>
      </x:c>
      <x:c r="G17" s="30" t="n">
        <x:v>0.4</x:v>
      </x:c>
      <x:c r="H17" s="30" t="n">
        <x:v>0.5</x:v>
      </x:c>
      <x:c r="I17" s="30" t="n">
        <x:v>0.98</x:v>
      </x:c>
      <x:c r="J17" s="27" t="n">
        <x:v>33000</x:v>
      </x:c>
      <x:c r="K17" s="30" t="n">
        <x:v>0.25</x:v>
      </x:c>
      <x:c r="L17" s="27" t="n">
        <x:v>43000</x:v>
      </x:c>
      <x:c r="M17" s="27" t="n">
        <x:v>6000</x:v>
      </x:c>
      <x:c r="N17" s="13" t="str">
        <x:f>IF(AND(IF(ISNUMBER(D17),AND(D17&gt;=0,D17&lt;=1),FALSE),IF(ISNUMBER(E17),AND(E17&gt;=0,E17&lt;=1000000000000),FALSE),IF(ISNUMBER(F17),AND(F17&gt;=0,F17&lt;=1000000000000),FALSE),IF(ISNUMBER(G17),AND(G17&gt;=0,G17&lt;=1),FALSE),IF(ISNUMBER(H17),AND(H17&gt;=0,H17&lt;=1),FALSE),IF(ISNUMBER(I17),AND(I17&gt;=0,I17&lt;=1),FALSE),IF(ISNUMBER(J17),AND(J17&gt;=0,J17&lt;=1000000000000),FALSE),IF(ISNUMBER(K17),AND(K17&gt;=0,K17&lt;=1),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30" t="n">
        <x:v>0</x:v>
      </x:c>
      <x:c r="E18" s="27" t="n">
        <x:v>42000</x:v>
      </x:c>
      <x:c r="F18" s="27" t="n">
        <x:v>92000</x:v>
      </x:c>
      <x:c r="G18" s="30" t="n">
        <x:v>0.4</x:v>
      </x:c>
      <x:c r="H18" s="30" t="n">
        <x:v>0.5</x:v>
      </x:c>
      <x:c r="I18" s="30" t="n">
        <x:v>0.98</x:v>
      </x:c>
      <x:c r="J18" s="27" t="n">
        <x:v>33000</x:v>
      </x:c>
      <x:c r="K18" s="30" t="n">
        <x:v>0.25</x:v>
      </x:c>
      <x:c r="L18" s="27" t="n">
        <x:v>43000</x:v>
      </x:c>
      <x:c r="M18" s="27" t="n">
        <x:v>380000</x:v>
      </x:c>
      <x:c r="N18" s="13" t="str">
        <x:f>IF(AND(IF(ISNUMBER(D18),AND(D18&gt;=0,D18&lt;=1),FALSE),IF(ISNUMBER(E18),AND(E18&gt;=0,E18&lt;=1000000000000),FALSE),IF(ISNUMBER(F18),AND(F18&gt;=0,F18&lt;=1000000000000),FALSE),IF(ISNUMBER(G18),AND(G18&gt;=0,G18&lt;=1),FALSE),IF(ISNUMBER(H18),AND(H18&gt;=0,H18&lt;=1),FALSE),IF(ISNUMBER(I18),AND(I18&gt;=0,I18&lt;=1),FALSE),IF(ISNUMBER(J18),AND(J18&gt;=0,J18&lt;=1000000000000),FALSE),IF(ISNUMBER(K18),AND(K18&gt;=0,K18&lt;=1),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30" t="n">
        <x:v>1</x:v>
      </x:c>
      <x:c r="E19" s="27" t="n">
        <x:v>42000</x:v>
      </x:c>
      <x:c r="F19" s="27" t="n">
        <x:v>92000</x:v>
      </x:c>
      <x:c r="G19" s="30" t="n">
        <x:v>0.4</x:v>
      </x:c>
      <x:c r="H19" s="30" t="n">
        <x:v>0.5</x:v>
      </x:c>
      <x:c r="I19" s="30" t="n">
        <x:v>0.98</x:v>
      </x:c>
      <x:c r="J19" s="27" t="n">
        <x:v>33000</x:v>
      </x:c>
      <x:c r="K19" s="30" t="n">
        <x:v>0.25</x:v>
      </x:c>
      <x:c r="L19" s="27" t="n">
        <x:v>43000</x:v>
      </x:c>
      <x:c r="M19" s="27" t="n">
        <x:v>6000</x:v>
      </x:c>
      <x:c r="N19" s="13" t="str">
        <x:f>IF(AND(IF(ISNUMBER(D19),AND(D19&gt;=0,D19&lt;=1),FALSE),IF(ISNUMBER(E19),AND(E19&gt;=0,E19&lt;=1000000000000),FALSE),IF(ISNUMBER(F19),AND(F19&gt;=0,F19&lt;=1000000000000),FALSE),IF(ISNUMBER(G19),AND(G19&gt;=0,G19&lt;=1),FALSE),IF(ISNUMBER(H19),AND(H19&gt;=0,H19&lt;=1),FALSE),IF(ISNUMBER(I19),AND(I19&gt;=0,I19&lt;=1),FALSE),IF(ISNUMBER(J19),AND(J19&gt;=0,J19&lt;=1000000000000),FALSE),IF(ISNUMBER(K19),AND(K19&gt;=0,K19&lt;=1),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30" t="n">
        <x:v>1</x:v>
      </x:c>
      <x:c r="E20" s="27" t="n">
        <x:v>42000</x:v>
      </x:c>
      <x:c r="F20" s="27" t="n">
        <x:v>92000</x:v>
      </x:c>
      <x:c r="G20" s="30" t="n">
        <x:v>0.4</x:v>
      </x:c>
      <x:c r="H20" s="30" t="n">
        <x:v>0.5</x:v>
      </x:c>
      <x:c r="I20" s="30" t="n">
        <x:v>0.98</x:v>
      </x:c>
      <x:c r="J20" s="27" t="n">
        <x:v>33000</x:v>
      </x:c>
      <x:c r="K20" s="30" t="n">
        <x:v>0.25</x:v>
      </x:c>
      <x:c r="L20" s="27" t="n">
        <x:v>43000</x:v>
      </x:c>
      <x:c r="M20" s="27" t="n">
        <x:v>6000</x:v>
      </x:c>
      <x:c r="N20" s="13" t="str">
        <x:f>IF(AND(IF(ISNUMBER(D20),AND(D20&gt;=0,D20&lt;=1),FALSE),IF(ISNUMBER(E20),AND(E20&gt;=0,E20&lt;=1000000000000),FALSE),IF(ISNUMBER(F20),AND(F20&gt;=0,F20&lt;=1000000000000),FALSE),IF(ISNUMBER(G20),AND(G20&gt;=0,G20&lt;=1),FALSE),IF(ISNUMBER(H20),AND(H20&gt;=0,H20&lt;=1),FALSE),IF(ISNUMBER(I20),AND(I20&gt;=0,I20&lt;=1),FALSE),IF(ISNUMBER(J20),AND(J20&gt;=0,J20&lt;=1000000000000),FALSE),IF(ISNUMBER(K20),AND(K20&gt;=0,K20&lt;=1),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30" t="n">
        <x:v>1</x:v>
      </x:c>
      <x:c r="E21" s="27" t="n">
        <x:v>42000</x:v>
      </x:c>
      <x:c r="F21" s="27" t="n">
        <x:v>92000</x:v>
      </x:c>
      <x:c r="G21" s="30" t="n">
        <x:v>0.4</x:v>
      </x:c>
      <x:c r="H21" s="30" t="n">
        <x:v>0.5</x:v>
      </x:c>
      <x:c r="I21" s="30" t="n">
        <x:v>0.98</x:v>
      </x:c>
      <x:c r="J21" s="27" t="n">
        <x:v>33000</x:v>
      </x:c>
      <x:c r="K21" s="30" t="n">
        <x:v>0.25</x:v>
      </x:c>
      <x:c r="L21" s="27" t="n">
        <x:v>43000</x:v>
      </x:c>
      <x:c r="M21" s="27" t="n">
        <x:v>6000</x:v>
      </x:c>
      <x:c r="N21" s="13" t="str">
        <x:f>IF(AND(IF(ISNUMBER(D21),AND(D21&gt;=0,D21&lt;=1),FALSE),IF(ISNUMBER(E21),AND(E21&gt;=0,E21&lt;=1000000000000),FALSE),IF(ISNUMBER(F21),AND(F21&gt;=0,F21&lt;=1000000000000),FALSE),IF(ISNUMBER(G21),AND(G21&gt;=0,G21&lt;=1),FALSE),IF(ISNUMBER(H21),AND(H21&gt;=0,H21&lt;=1),FALSE),IF(ISNUMBER(I21),AND(I21&gt;=0,I21&lt;=1),FALSE),IF(ISNUMBER(J21),AND(J21&gt;=0,J21&lt;=1000000000000),FALSE),IF(ISNUMBER(K21),AND(K21&gt;=0,K21&lt;=1),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x:formula2>
    </x:dataValidation>
    <x:dataValidation type="decimal" operator="between" sqref="H10">
      <x:formula1>0</x:formula1>
      <x:formula2>1</x:formula2>
    </x:dataValidation>
    <x:dataValidation type="decimal" operator="between" sqref="I10">
      <x:formula1>0</x:formula1>
      <x:formula2>1</x:formula2>
    </x:dataValidation>
    <x:dataValidation type="decimal" operator="between" sqref="J10">
      <x:formula1>0</x:formula1>
      <x:formula2>1000000000000</x:formula2>
    </x:dataValidation>
    <x:dataValidation type="decimal" operator="between" sqref="K10">
      <x:formula1>0</x:formula1>
      <x:formula2>1</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x:formula2>
    </x:dataValidation>
    <x:dataValidation type="decimal" operator="between" sqref="H11">
      <x:formula1>0</x:formula1>
      <x:formula2>1</x:formula2>
    </x:dataValidation>
    <x:dataValidation type="decimal" operator="between" sqref="I11">
      <x:formula1>0</x:formula1>
      <x:formula2>1</x:formula2>
    </x:dataValidation>
    <x:dataValidation type="decimal" operator="between" sqref="J11">
      <x:formula1>0</x:formula1>
      <x:formula2>1000000000000</x:formula2>
    </x:dataValidation>
    <x:dataValidation type="decimal" operator="between" sqref="K11">
      <x:formula1>0</x:formula1>
      <x:formula2>1</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x:formula2>
    </x:dataValidation>
    <x:dataValidation type="decimal" operator="between" sqref="H12">
      <x:formula1>0</x:formula1>
      <x:formula2>1</x:formula2>
    </x:dataValidation>
    <x:dataValidation type="decimal" operator="between" sqref="I12">
      <x:formula1>0</x:formula1>
      <x:formula2>1</x:formula2>
    </x:dataValidation>
    <x:dataValidation type="decimal" operator="between" sqref="J12">
      <x:formula1>0</x:formula1>
      <x:formula2>1000000000000</x:formula2>
    </x:dataValidation>
    <x:dataValidation type="decimal" operator="between" sqref="K12">
      <x:formula1>0</x:formula1>
      <x:formula2>1</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x:formula2>
    </x:dataValidation>
    <x:dataValidation type="decimal" operator="between" sqref="H13">
      <x:formula1>0</x:formula1>
      <x:formula2>1</x:formula2>
    </x:dataValidation>
    <x:dataValidation type="decimal" operator="between" sqref="I13">
      <x:formula1>0</x:formula1>
      <x:formula2>1</x:formula2>
    </x:dataValidation>
    <x:dataValidation type="decimal" operator="between" sqref="J13">
      <x:formula1>0</x:formula1>
      <x:formula2>1000000000000</x:formula2>
    </x:dataValidation>
    <x:dataValidation type="decimal" operator="between" sqref="K13">
      <x:formula1>0</x:formula1>
      <x:formula2>1</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x:formula2>
    </x:dataValidation>
    <x:dataValidation type="decimal" operator="between" sqref="H14">
      <x:formula1>0</x:formula1>
      <x:formula2>1</x:formula2>
    </x:dataValidation>
    <x:dataValidation type="decimal" operator="between" sqref="I14">
      <x:formula1>0</x:formula1>
      <x:formula2>1</x:formula2>
    </x:dataValidation>
    <x:dataValidation type="decimal" operator="between" sqref="J14">
      <x:formula1>0</x:formula1>
      <x:formula2>1000000000000</x:formula2>
    </x:dataValidation>
    <x:dataValidation type="decimal" operator="between" sqref="K14">
      <x:formula1>0</x:formula1>
      <x:formula2>1</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x:formula2>
    </x:dataValidation>
    <x:dataValidation type="decimal" operator="between" sqref="H15">
      <x:formula1>0</x:formula1>
      <x:formula2>1</x:formula2>
    </x:dataValidation>
    <x:dataValidation type="decimal" operator="between" sqref="I15">
      <x:formula1>0</x:formula1>
      <x:formula2>1</x:formula2>
    </x:dataValidation>
    <x:dataValidation type="decimal" operator="between" sqref="J15">
      <x:formula1>0</x:formula1>
      <x:formula2>1000000000000</x:formula2>
    </x:dataValidation>
    <x:dataValidation type="decimal" operator="between" sqref="K15">
      <x:formula1>0</x:formula1>
      <x:formula2>1</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x:formula2>
    </x:dataValidation>
    <x:dataValidation type="decimal" operator="between" sqref="H16">
      <x:formula1>0</x:formula1>
      <x:formula2>1</x:formula2>
    </x:dataValidation>
    <x:dataValidation type="decimal" operator="between" sqref="I16">
      <x:formula1>0</x:formula1>
      <x:formula2>1</x:formula2>
    </x:dataValidation>
    <x:dataValidation type="decimal" operator="between" sqref="J16">
      <x:formula1>0</x:formula1>
      <x:formula2>1000000000000</x:formula2>
    </x:dataValidation>
    <x:dataValidation type="decimal" operator="between" sqref="K16">
      <x:formula1>0</x:formula1>
      <x:formula2>1</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x:formula2>
    </x:dataValidation>
    <x:dataValidation type="decimal" operator="between" sqref="H17">
      <x:formula1>0</x:formula1>
      <x:formula2>1</x:formula2>
    </x:dataValidation>
    <x:dataValidation type="decimal" operator="between" sqref="I17">
      <x:formula1>0</x:formula1>
      <x:formula2>1</x:formula2>
    </x:dataValidation>
    <x:dataValidation type="decimal" operator="between" sqref="J17">
      <x:formula1>0</x:formula1>
      <x:formula2>1000000000000</x:formula2>
    </x:dataValidation>
    <x:dataValidation type="decimal" operator="between" sqref="K17">
      <x:formula1>0</x:formula1>
      <x:formula2>1</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x:formula2>
    </x:dataValidation>
    <x:dataValidation type="decimal" operator="between" sqref="H18">
      <x:formula1>0</x:formula1>
      <x:formula2>1</x:formula2>
    </x:dataValidation>
    <x:dataValidation type="decimal" operator="between" sqref="I18">
      <x:formula1>0</x:formula1>
      <x:formula2>1</x:formula2>
    </x:dataValidation>
    <x:dataValidation type="decimal" operator="between" sqref="J18">
      <x:formula1>0</x:formula1>
      <x:formula2>1000000000000</x:formula2>
    </x:dataValidation>
    <x:dataValidation type="decimal" operator="between" sqref="K18">
      <x:formula1>0</x:formula1>
      <x:formula2>1</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x:formula2>
    </x:dataValidation>
    <x:dataValidation type="decimal" operator="between" sqref="H19">
      <x:formula1>0</x:formula1>
      <x:formula2>1</x:formula2>
    </x:dataValidation>
    <x:dataValidation type="decimal" operator="between" sqref="I19">
      <x:formula1>0</x:formula1>
      <x:formula2>1</x:formula2>
    </x:dataValidation>
    <x:dataValidation type="decimal" operator="between" sqref="J19">
      <x:formula1>0</x:formula1>
      <x:formula2>1000000000000</x:formula2>
    </x:dataValidation>
    <x:dataValidation type="decimal" operator="between" sqref="K19">
      <x:formula1>0</x:formula1>
      <x:formula2>1</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x:formula2>
    </x:dataValidation>
    <x:dataValidation type="decimal" operator="between" sqref="H20">
      <x:formula1>0</x:formula1>
      <x:formula2>1</x:formula2>
    </x:dataValidation>
    <x:dataValidation type="decimal" operator="between" sqref="I20">
      <x:formula1>0</x:formula1>
      <x:formula2>1</x:formula2>
    </x:dataValidation>
    <x:dataValidation type="decimal" operator="between" sqref="J20">
      <x:formula1>0</x:formula1>
      <x:formula2>1000000000000</x:formula2>
    </x:dataValidation>
    <x:dataValidation type="decimal" operator="between" sqref="K20">
      <x:formula1>0</x:formula1>
      <x:formula2>1</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x:formula2>
    </x:dataValidation>
    <x:dataValidation type="decimal" operator="between" sqref="H21">
      <x:formula1>0</x:formula1>
      <x:formula2>1</x:formula2>
    </x:dataValidation>
    <x:dataValidation type="decimal" operator="between" sqref="I21">
      <x:formula1>0</x:formula1>
      <x:formula2>1</x:formula2>
    </x:dataValidation>
    <x:dataValidation type="decimal" operator="between" sqref="J21">
      <x:formula1>0</x:formula1>
      <x:formula2>1000000000000</x:formula2>
    </x:dataValidation>
    <x:dataValidation type="decimal" operator="between" sqref="K21">
      <x:formula1>0</x:formula1>
      <x:formula2>1</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USD unless labeled. Monthly cash convention; capital and debt are below NCF.</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Shop rent before co-tenancy relief</x:v>
      </x:c>
      <x:c r="D10" s="2" t="str">
        <x:v>USD</x:v>
      </x:c>
      <x:c r="E10" s="49" t="n">
        <x:f>IF(COUNT(G10:R10)=12,SUM(G10:R10),"n.a.")</x:f>
        <x:v>1104000</x:v>
      </x:c>
      <x:c r="F10" s="2"/>
      <x:c r="G10" s="48" t="n">
        <x:f>IF(AND('Anchor and Shop Cash'!N10="OK"),IF(AND(ISNUMBER('Anchor and Shop Cash'!$F$10),ISNUMBER('Assumptions'!$D$61),ISNUMBER('Assumptions'!$D$64)),'Anchor and Shop Cash'!$F$10*MIN(1,'Assumptions'!$D$61)*'Assumptions'!$D$64,"n.a."),"n.a.")</x:f>
        <x:v>92000</x:v>
      </x:c>
      <x:c r="H10" s="48" t="n">
        <x:f>IF(AND('Anchor and Shop Cash'!N11="OK"),IF(AND(ISNUMBER('Anchor and Shop Cash'!$F$11),ISNUMBER('Assumptions'!$D$61),ISNUMBER('Assumptions'!$D$64)),'Anchor and Shop Cash'!$F$11*MIN(1,'Assumptions'!$D$61)*'Assumptions'!$D$64,"n.a."),"n.a.")</x:f>
        <x:v>92000</x:v>
      </x:c>
      <x:c r="I10" s="48" t="n">
        <x:f>IF(AND('Anchor and Shop Cash'!N12="OK"),IF(AND(ISNUMBER('Anchor and Shop Cash'!$F$12),ISNUMBER('Assumptions'!$D$61),ISNUMBER('Assumptions'!$D$64)),'Anchor and Shop Cash'!$F$12*MIN(1,'Assumptions'!$D$61)*'Assumptions'!$D$64,"n.a."),"n.a.")</x:f>
        <x:v>92000</x:v>
      </x:c>
      <x:c r="J10" s="48" t="n">
        <x:f>IF(AND('Anchor and Shop Cash'!N13="OK"),IF(AND(ISNUMBER('Anchor and Shop Cash'!$F$13),ISNUMBER('Assumptions'!$D$61),ISNUMBER('Assumptions'!$D$64)),'Anchor and Shop Cash'!$F$13*MIN(1,'Assumptions'!$D$61)*'Assumptions'!$D$64,"n.a."),"n.a.")</x:f>
        <x:v>92000</x:v>
      </x:c>
      <x:c r="K10" s="48" t="n">
        <x:f>IF(AND('Anchor and Shop Cash'!N14="OK"),IF(AND(ISNUMBER('Anchor and Shop Cash'!$F$14),ISNUMBER('Assumptions'!$D$61),ISNUMBER('Assumptions'!$D$64)),'Anchor and Shop Cash'!$F$14*MIN(1,'Assumptions'!$D$61)*'Assumptions'!$D$64,"n.a."),"n.a.")</x:f>
        <x:v>92000</x:v>
      </x:c>
      <x:c r="L10" s="48" t="n">
        <x:f>IF(AND('Anchor and Shop Cash'!N15="OK"),IF(AND(ISNUMBER('Anchor and Shop Cash'!$F$15),ISNUMBER('Assumptions'!$D$61),ISNUMBER('Assumptions'!$D$64)),'Anchor and Shop Cash'!$F$15*MIN(1,'Assumptions'!$D$61)*'Assumptions'!$D$64,"n.a."),"n.a.")</x:f>
        <x:v>92000</x:v>
      </x:c>
      <x:c r="M10" s="48" t="n">
        <x:f>IF(AND('Anchor and Shop Cash'!N16="OK"),IF(AND(ISNUMBER('Anchor and Shop Cash'!$F$16),ISNUMBER('Assumptions'!$D$61),ISNUMBER('Assumptions'!$D$64)),'Anchor and Shop Cash'!$F$16*MIN(1,'Assumptions'!$D$61)*'Assumptions'!$D$64,"n.a."),"n.a.")</x:f>
        <x:v>92000</x:v>
      </x:c>
      <x:c r="N10" s="48" t="n">
        <x:f>IF(AND('Anchor and Shop Cash'!N17="OK"),IF(AND(ISNUMBER('Anchor and Shop Cash'!$F$17),ISNUMBER('Assumptions'!$D$61),ISNUMBER('Assumptions'!$D$64)),'Anchor and Shop Cash'!$F$17*MIN(1,'Assumptions'!$D$61)*'Assumptions'!$D$64,"n.a."),"n.a.")</x:f>
        <x:v>92000</x:v>
      </x:c>
      <x:c r="O10" s="48" t="n">
        <x:f>IF(AND('Anchor and Shop Cash'!N18="OK"),IF(AND(ISNUMBER('Anchor and Shop Cash'!$F$18),ISNUMBER('Assumptions'!$D$61),ISNUMBER('Assumptions'!$D$64)),'Anchor and Shop Cash'!$F$18*MIN(1,'Assumptions'!$D$61)*'Assumptions'!$D$64,"n.a."),"n.a.")</x:f>
        <x:v>92000</x:v>
      </x:c>
      <x:c r="P10" s="48" t="n">
        <x:f>IF(AND('Anchor and Shop Cash'!N19="OK"),IF(AND(ISNUMBER('Anchor and Shop Cash'!$F$19),ISNUMBER('Assumptions'!$D$61),ISNUMBER('Assumptions'!$D$64)),'Anchor and Shop Cash'!$F$19*MIN(1,'Assumptions'!$D$61)*'Assumptions'!$D$64,"n.a."),"n.a.")</x:f>
        <x:v>92000</x:v>
      </x:c>
      <x:c r="Q10" s="48" t="n">
        <x:f>IF(AND('Anchor and Shop Cash'!N20="OK"),IF(AND(ISNUMBER('Anchor and Shop Cash'!$F$20),ISNUMBER('Assumptions'!$D$61),ISNUMBER('Assumptions'!$D$64)),'Anchor and Shop Cash'!$F$20*MIN(1,'Assumptions'!$D$61)*'Assumptions'!$D$64,"n.a."),"n.a.")</x:f>
        <x:v>92000</x:v>
      </x:c>
      <x:c r="R10" s="48" t="n">
        <x:f>IF(AND('Anchor and Shop Cash'!N21="OK"),IF(AND(ISNUMBER('Anchor and Shop Cash'!$F$21),ISNUMBER('Assumptions'!$D$61),ISNUMBER('Assumptions'!$D$64)),'Anchor and Shop Cash'!$F$21*MIN(1,'Assumptions'!$D$61)*'Assumptions'!$D$64,"n.a."),"n.a.")</x:f>
        <x:v>92000</x:v>
      </x:c>
    </x:row>
    <x:row r="11" ht="21" customHeight="1">
      <x:c r="A11" s="2"/>
      <x:c r="B11" s="2"/>
      <x:c r="C11" s="2" t="str">
        <x:v>Entered co-tenancy rent reduction</x:v>
      </x:c>
      <x:c r="D11" s="2" t="str">
        <x:v>USD</x:v>
      </x:c>
      <x:c r="E11" s="49" t="n">
        <x:f>IF(COUNT(G11:R11)=12,SUM(G11:R11),"n.a.")</x:f>
        <x:v>73600</x:v>
      </x:c>
      <x:c r="F11" s="2"/>
      <x:c r="G11" s="48" t="n">
        <x:f>IF(AND('Anchor and Shop Cash'!N10="OK"),IF(AND(ISNUMBER(G10),ISNUMBER('Anchor and Shop Cash'!$G$10),ISNUMBER('Anchor and Shop Cash'!$H$10),ISNUMBER('Anchor and Shop Cash'!$D$10)),G10*'Anchor and Shop Cash'!$G$10*'Anchor and Shop Cash'!$H$10*(1-'Anchor and Shop Cash'!$D$10),"n.a."),"n.a.")</x:f>
        <x:v>0</x:v>
      </x:c>
      <x:c r="H11" s="48" t="n">
        <x:f>IF(AND('Anchor and Shop Cash'!N11="OK"),IF(AND(ISNUMBER(H10),ISNUMBER('Anchor and Shop Cash'!$G$11),ISNUMBER('Anchor and Shop Cash'!$H$11),ISNUMBER('Anchor and Shop Cash'!$D$11)),H10*'Anchor and Shop Cash'!$G$11*'Anchor and Shop Cash'!$H$11*(1-'Anchor and Shop Cash'!$D$11),"n.a."),"n.a.")</x:f>
        <x:v>0</x:v>
      </x:c>
      <x:c r="I11" s="48" t="n">
        <x:f>IF(AND('Anchor and Shop Cash'!N12="OK"),IF(AND(ISNUMBER(I10),ISNUMBER('Anchor and Shop Cash'!$G$12),ISNUMBER('Anchor and Shop Cash'!$H$12),ISNUMBER('Anchor and Shop Cash'!$D$12)),I10*'Anchor and Shop Cash'!$G$12*'Anchor and Shop Cash'!$H$12*(1-'Anchor and Shop Cash'!$D$12),"n.a."),"n.a.")</x:f>
        <x:v>0</x:v>
      </x:c>
      <x:c r="J11" s="48" t="n">
        <x:f>IF(AND('Anchor and Shop Cash'!N13="OK"),IF(AND(ISNUMBER(J10),ISNUMBER('Anchor and Shop Cash'!$G$13),ISNUMBER('Anchor and Shop Cash'!$H$13),ISNUMBER('Anchor and Shop Cash'!$D$13)),J10*'Anchor and Shop Cash'!$G$13*'Anchor and Shop Cash'!$H$13*(1-'Anchor and Shop Cash'!$D$13),"n.a."),"n.a.")</x:f>
        <x:v>0</x:v>
      </x:c>
      <x:c r="K11" s="48" t="n">
        <x:f>IF(AND('Anchor and Shop Cash'!N14="OK"),IF(AND(ISNUMBER(K10),ISNUMBER('Anchor and Shop Cash'!$G$14),ISNUMBER('Anchor and Shop Cash'!$H$14),ISNUMBER('Anchor and Shop Cash'!$D$14)),K10*'Anchor and Shop Cash'!$G$14*'Anchor and Shop Cash'!$H$14*(1-'Anchor and Shop Cash'!$D$14),"n.a."),"n.a.")</x:f>
        <x:v>0</x:v>
      </x:c>
      <x:c r="L11" s="48" t="n">
        <x:f>IF(AND('Anchor and Shop Cash'!N15="OK"),IF(AND(ISNUMBER(L10),ISNUMBER('Anchor and Shop Cash'!$G$15),ISNUMBER('Anchor and Shop Cash'!$H$15),ISNUMBER('Anchor and Shop Cash'!$D$15)),L10*'Anchor and Shop Cash'!$G$15*'Anchor and Shop Cash'!$H$15*(1-'Anchor and Shop Cash'!$D$15),"n.a."),"n.a.")</x:f>
        <x:v>18400</x:v>
      </x:c>
      <x:c r="M11" s="48" t="n">
        <x:f>IF(AND('Anchor and Shop Cash'!N16="OK"),IF(AND(ISNUMBER(M10),ISNUMBER('Anchor and Shop Cash'!$G$16),ISNUMBER('Anchor and Shop Cash'!$H$16),ISNUMBER('Anchor and Shop Cash'!$D$16)),M10*'Anchor and Shop Cash'!$G$16*'Anchor and Shop Cash'!$H$16*(1-'Anchor and Shop Cash'!$D$16),"n.a."),"n.a.")</x:f>
        <x:v>18400</x:v>
      </x:c>
      <x:c r="N11" s="48" t="n">
        <x:f>IF(AND('Anchor and Shop Cash'!N17="OK"),IF(AND(ISNUMBER(N10),ISNUMBER('Anchor and Shop Cash'!$G$17),ISNUMBER('Anchor and Shop Cash'!$H$17),ISNUMBER('Anchor and Shop Cash'!$D$17)),N10*'Anchor and Shop Cash'!$G$17*'Anchor and Shop Cash'!$H$17*(1-'Anchor and Shop Cash'!$D$17),"n.a."),"n.a.")</x:f>
        <x:v>18400</x:v>
      </x:c>
      <x:c r="O11" s="48" t="n">
        <x:f>IF(AND('Anchor and Shop Cash'!N18="OK"),IF(AND(ISNUMBER(O10),ISNUMBER('Anchor and Shop Cash'!$G$18),ISNUMBER('Anchor and Shop Cash'!$H$18),ISNUMBER('Anchor and Shop Cash'!$D$18)),O10*'Anchor and Shop Cash'!$G$18*'Anchor and Shop Cash'!$H$18*(1-'Anchor and Shop Cash'!$D$18),"n.a."),"n.a.")</x:f>
        <x:v>18400</x:v>
      </x:c>
      <x:c r="P11" s="48" t="n">
        <x:f>IF(AND('Anchor and Shop Cash'!N19="OK"),IF(AND(ISNUMBER(P10),ISNUMBER('Anchor and Shop Cash'!$G$19),ISNUMBER('Anchor and Shop Cash'!$H$19),ISNUMBER('Anchor and Shop Cash'!$D$19)),P10*'Anchor and Shop Cash'!$G$19*'Anchor and Shop Cash'!$H$19*(1-'Anchor and Shop Cash'!$D$19),"n.a."),"n.a.")</x:f>
        <x:v>0</x:v>
      </x:c>
      <x:c r="Q11" s="48" t="n">
        <x:f>IF(AND('Anchor and Shop Cash'!N20="OK"),IF(AND(ISNUMBER(Q10),ISNUMBER('Anchor and Shop Cash'!$G$20),ISNUMBER('Anchor and Shop Cash'!$H$20),ISNUMBER('Anchor and Shop Cash'!$D$20)),Q10*'Anchor and Shop Cash'!$G$20*'Anchor and Shop Cash'!$H$20*(1-'Anchor and Shop Cash'!$D$20),"n.a."),"n.a.")</x:f>
        <x:v>0</x:v>
      </x:c>
      <x:c r="R11" s="48" t="n">
        <x:f>IF(AND('Anchor and Shop Cash'!N21="OK"),IF(AND(ISNUMBER(R10),ISNUMBER('Anchor and Shop Cash'!$G$21),ISNUMBER('Anchor and Shop Cash'!$H$21),ISNUMBER('Anchor and Shop Cash'!$D$21)),R10*'Anchor and Shop Cash'!$G$21*'Anchor and Shop Cash'!$H$21*(1-'Anchor and Shop Cash'!$D$21),"n.a."),"n.a.")</x:f>
        <x:v>0</x:v>
      </x:c>
    </x:row>
    <x:row r="12" ht="21" customHeight="1">
      <x:c r="A12" s="2"/>
      <x:c r="B12" s="2"/>
      <x:c r="C12" s="2" t="str">
        <x:v>Shop rent cash after entered relief</x:v>
      </x:c>
      <x:c r="D12" s="2" t="str">
        <x:v>USD</x:v>
      </x:c>
      <x:c r="E12" s="49" t="n">
        <x:f>IF(COUNT(G12:R12)=12,SUM(G12:R12),"n.a.")</x:f>
        <x:v>1009792</x:v>
      </x:c>
      <x:c r="F12" s="2"/>
      <x:c r="G12" s="48" t="n">
        <x:f>IF(AND('Anchor and Shop Cash'!N10="OK"),IF(AND(ISNUMBER(G10),ISNUMBER(G11),ISNUMBER('Anchor and Shop Cash'!$I$10)),(G10-G11)*'Anchor and Shop Cash'!$I$10,"n.a."),"n.a.")</x:f>
        <x:v>90160</x:v>
      </x:c>
      <x:c r="H12" s="48" t="n">
        <x:f>IF(AND('Anchor and Shop Cash'!N11="OK"),IF(AND(ISNUMBER(H10),ISNUMBER(H11),ISNUMBER('Anchor and Shop Cash'!$I$11)),(H10-H11)*'Anchor and Shop Cash'!$I$11,"n.a."),"n.a.")</x:f>
        <x:v>90160</x:v>
      </x:c>
      <x:c r="I12" s="48" t="n">
        <x:f>IF(AND('Anchor and Shop Cash'!N12="OK"),IF(AND(ISNUMBER(I10),ISNUMBER(I11),ISNUMBER('Anchor and Shop Cash'!$I$12)),(I10-I11)*'Anchor and Shop Cash'!$I$12,"n.a."),"n.a.")</x:f>
        <x:v>90160</x:v>
      </x:c>
      <x:c r="J12" s="48" t="n">
        <x:f>IF(AND('Anchor and Shop Cash'!N13="OK"),IF(AND(ISNUMBER(J10),ISNUMBER(J11),ISNUMBER('Anchor and Shop Cash'!$I$13)),(J10-J11)*'Anchor and Shop Cash'!$I$13,"n.a."),"n.a.")</x:f>
        <x:v>90160</x:v>
      </x:c>
      <x:c r="K12" s="48" t="n">
        <x:f>IF(AND('Anchor and Shop Cash'!N14="OK"),IF(AND(ISNUMBER(K10),ISNUMBER(K11),ISNUMBER('Anchor and Shop Cash'!$I$14)),(K10-K11)*'Anchor and Shop Cash'!$I$14,"n.a."),"n.a.")</x:f>
        <x:v>90160</x:v>
      </x:c>
      <x:c r="L12" s="48" t="n">
        <x:f>IF(AND('Anchor and Shop Cash'!N15="OK"),IF(AND(ISNUMBER(L10),ISNUMBER(L11),ISNUMBER('Anchor and Shop Cash'!$I$15)),(L10-L11)*'Anchor and Shop Cash'!$I$15,"n.a."),"n.a.")</x:f>
        <x:v>72128</x:v>
      </x:c>
      <x:c r="M12" s="48" t="n">
        <x:f>IF(AND('Anchor and Shop Cash'!N16="OK"),IF(AND(ISNUMBER(M10),ISNUMBER(M11),ISNUMBER('Anchor and Shop Cash'!$I$16)),(M10-M11)*'Anchor and Shop Cash'!$I$16,"n.a."),"n.a.")</x:f>
        <x:v>72128</x:v>
      </x:c>
      <x:c r="N12" s="48" t="n">
        <x:f>IF(AND('Anchor and Shop Cash'!N17="OK"),IF(AND(ISNUMBER(N10),ISNUMBER(N11),ISNUMBER('Anchor and Shop Cash'!$I$17)),(N10-N11)*'Anchor and Shop Cash'!$I$17,"n.a."),"n.a.")</x:f>
        <x:v>72128</x:v>
      </x:c>
      <x:c r="O12" s="48" t="n">
        <x:f>IF(AND('Anchor and Shop Cash'!N18="OK"),IF(AND(ISNUMBER(O10),ISNUMBER(O11),ISNUMBER('Anchor and Shop Cash'!$I$18)),(O10-O11)*'Anchor and Shop Cash'!$I$18,"n.a."),"n.a.")</x:f>
        <x:v>72128</x:v>
      </x:c>
      <x:c r="P12" s="48" t="n">
        <x:f>IF(AND('Anchor and Shop Cash'!N19="OK"),IF(AND(ISNUMBER(P10),ISNUMBER(P11),ISNUMBER('Anchor and Shop Cash'!$I$19)),(P10-P11)*'Anchor and Shop Cash'!$I$19,"n.a."),"n.a.")</x:f>
        <x:v>90160</x:v>
      </x:c>
      <x:c r="Q12" s="48" t="n">
        <x:f>IF(AND('Anchor and Shop Cash'!N20="OK"),IF(AND(ISNUMBER(Q10),ISNUMBER(Q11),ISNUMBER('Anchor and Shop Cash'!$I$20)),(Q10-Q11)*'Anchor and Shop Cash'!$I$20,"n.a."),"n.a.")</x:f>
        <x:v>90160</x:v>
      </x:c>
      <x:c r="R12" s="48" t="n">
        <x:f>IF(AND('Anchor and Shop Cash'!N21="OK"),IF(AND(ISNUMBER(R10),ISNUMBER(R11),ISNUMBER('Anchor and Shop Cash'!$I$21)),(R10-R11)*'Anchor and Shop Cash'!$I$21,"n.a."),"n.a.")</x:f>
        <x:v>90160</x:v>
      </x:c>
    </x:row>
    <x:row r="13" ht="21" customHeight="1">
      <x:c r="A13" s="2"/>
      <x:c r="B13" s="2"/>
      <x:c r="C13" s="2" t="str">
        <x:v>Anchor rent cash independent of opening</x:v>
      </x:c>
      <x:c r="D13" s="2" t="str">
        <x:v>USD</x:v>
      </x:c>
      <x:c r="E13" s="49" t="n">
        <x:f>IF(COUNT(G13:R13)=12,SUM(G13:R13),"n.a.")</x:f>
        <x:v>504000</x:v>
      </x:c>
      <x:c r="F13" s="2"/>
      <x:c r="G13" s="48" t="n">
        <x:f>IF(AND('Anchor and Shop Cash'!N10="OK"),IF(AND(ISNUMBER('Anchor and Shop Cash'!$E$10),ISNUMBER('Assumptions'!$D$64)),'Anchor and Shop Cash'!$E$10*'Assumptions'!$D$64,"n.a."),"n.a.")</x:f>
        <x:v>42000</x:v>
      </x:c>
      <x:c r="H13" s="48" t="n">
        <x:f>IF(AND('Anchor and Shop Cash'!N11="OK"),IF(AND(ISNUMBER('Anchor and Shop Cash'!$E$11),ISNUMBER('Assumptions'!$D$64)),'Anchor and Shop Cash'!$E$11*'Assumptions'!$D$64,"n.a."),"n.a.")</x:f>
        <x:v>42000</x:v>
      </x:c>
      <x:c r="I13" s="48" t="n">
        <x:f>IF(AND('Anchor and Shop Cash'!N12="OK"),IF(AND(ISNUMBER('Anchor and Shop Cash'!$E$12),ISNUMBER('Assumptions'!$D$64)),'Anchor and Shop Cash'!$E$12*'Assumptions'!$D$64,"n.a."),"n.a.")</x:f>
        <x:v>42000</x:v>
      </x:c>
      <x:c r="J13" s="48" t="n">
        <x:f>IF(AND('Anchor and Shop Cash'!N13="OK"),IF(AND(ISNUMBER('Anchor and Shop Cash'!$E$13),ISNUMBER('Assumptions'!$D$64)),'Anchor and Shop Cash'!$E$13*'Assumptions'!$D$64,"n.a."),"n.a.")</x:f>
        <x:v>42000</x:v>
      </x:c>
      <x:c r="K13" s="48" t="n">
        <x:f>IF(AND('Anchor and Shop Cash'!N14="OK"),IF(AND(ISNUMBER('Anchor and Shop Cash'!$E$14),ISNUMBER('Assumptions'!$D$64)),'Anchor and Shop Cash'!$E$14*'Assumptions'!$D$64,"n.a."),"n.a.")</x:f>
        <x:v>42000</x:v>
      </x:c>
      <x:c r="L13" s="48" t="n">
        <x:f>IF(AND('Anchor and Shop Cash'!N15="OK"),IF(AND(ISNUMBER('Anchor and Shop Cash'!$E$15),ISNUMBER('Assumptions'!$D$64)),'Anchor and Shop Cash'!$E$15*'Assumptions'!$D$64,"n.a."),"n.a.")</x:f>
        <x:v>42000</x:v>
      </x:c>
      <x:c r="M13" s="48" t="n">
        <x:f>IF(AND('Anchor and Shop Cash'!N16="OK"),IF(AND(ISNUMBER('Anchor and Shop Cash'!$E$16),ISNUMBER('Assumptions'!$D$64)),'Anchor and Shop Cash'!$E$16*'Assumptions'!$D$64,"n.a."),"n.a.")</x:f>
        <x:v>42000</x:v>
      </x:c>
      <x:c r="N13" s="48" t="n">
        <x:f>IF(AND('Anchor and Shop Cash'!N17="OK"),IF(AND(ISNUMBER('Anchor and Shop Cash'!$E$17),ISNUMBER('Assumptions'!$D$64)),'Anchor and Shop Cash'!$E$17*'Assumptions'!$D$64,"n.a."),"n.a.")</x:f>
        <x:v>42000</x:v>
      </x:c>
      <x:c r="O13" s="48" t="n">
        <x:f>IF(AND('Anchor and Shop Cash'!N18="OK"),IF(AND(ISNUMBER('Anchor and Shop Cash'!$E$18),ISNUMBER('Assumptions'!$D$64)),'Anchor and Shop Cash'!$E$18*'Assumptions'!$D$64,"n.a."),"n.a.")</x:f>
        <x:v>42000</x:v>
      </x:c>
      <x:c r="P13" s="48" t="n">
        <x:f>IF(AND('Anchor and Shop Cash'!N19="OK"),IF(AND(ISNUMBER('Anchor and Shop Cash'!$E$19),ISNUMBER('Assumptions'!$D$64)),'Anchor and Shop Cash'!$E$19*'Assumptions'!$D$64,"n.a."),"n.a.")</x:f>
        <x:v>42000</x:v>
      </x:c>
      <x:c r="Q13" s="48" t="n">
        <x:f>IF(AND('Anchor and Shop Cash'!N20="OK"),IF(AND(ISNUMBER('Anchor and Shop Cash'!$E$20),ISNUMBER('Assumptions'!$D$64)),'Anchor and Shop Cash'!$E$20*'Assumptions'!$D$64,"n.a."),"n.a.")</x:f>
        <x:v>42000</x:v>
      </x:c>
      <x:c r="R13" s="48" t="n">
        <x:f>IF(AND('Anchor and Shop Cash'!N21="OK"),IF(AND(ISNUMBER('Anchor and Shop Cash'!$E$21),ISNUMBER('Assumptions'!$D$64)),'Anchor and Shop Cash'!$E$21*'Assumptions'!$D$64,"n.a."),"n.a.")</x:f>
        <x:v>42000</x:v>
      </x:c>
    </x:row>
    <x:row r="14" ht="21" customHeight="1">
      <x:c r="A14" s="2"/>
      <x:c r="B14" s="2"/>
      <x:c r="C14" s="2" t="str">
        <x:v>Cash recoveries after entered reduction</x:v>
      </x:c>
      <x:c r="D14" s="2" t="str">
        <x:v>USD</x:v>
      </x:c>
      <x:c r="E14" s="49" t="n">
        <x:f>IF(COUNT(G14:R14)=12,SUM(G14:R14),"n.a.")</x:f>
        <x:v>363000</x:v>
      </x:c>
      <x:c r="F14" s="2"/>
      <x:c r="G14" s="48" t="n">
        <x:f>IF(AND('Anchor and Shop Cash'!N10="OK"),IF(AND(ISNUMBER('Anchor and Shop Cash'!$J$10),ISNUMBER('Anchor and Shop Cash'!$K$10),ISNUMBER('Anchor and Shop Cash'!$D$10)),'Anchor and Shop Cash'!$J$10*(1-'Anchor and Shop Cash'!$K$10*(1-'Anchor and Shop Cash'!$D$10)),"n.a."),"n.a.")</x:f>
        <x:v>33000</x:v>
      </x:c>
      <x:c r="H14" s="48" t="n">
        <x:f>IF(AND('Anchor and Shop Cash'!N11="OK"),IF(AND(ISNUMBER('Anchor and Shop Cash'!$J$11),ISNUMBER('Anchor and Shop Cash'!$K$11),ISNUMBER('Anchor and Shop Cash'!$D$11)),'Anchor and Shop Cash'!$J$11*(1-'Anchor and Shop Cash'!$K$11*(1-'Anchor and Shop Cash'!$D$11)),"n.a."),"n.a.")</x:f>
        <x:v>33000</x:v>
      </x:c>
      <x:c r="I14" s="48" t="n">
        <x:f>IF(AND('Anchor and Shop Cash'!N12="OK"),IF(AND(ISNUMBER('Anchor and Shop Cash'!$J$12),ISNUMBER('Anchor and Shop Cash'!$K$12),ISNUMBER('Anchor and Shop Cash'!$D$12)),'Anchor and Shop Cash'!$J$12*(1-'Anchor and Shop Cash'!$K$12*(1-'Anchor and Shop Cash'!$D$12)),"n.a."),"n.a.")</x:f>
        <x:v>33000</x:v>
      </x:c>
      <x:c r="J14" s="48" t="n">
        <x:f>IF(AND('Anchor and Shop Cash'!N13="OK"),IF(AND(ISNUMBER('Anchor and Shop Cash'!$J$13),ISNUMBER('Anchor and Shop Cash'!$K$13),ISNUMBER('Anchor and Shop Cash'!$D$13)),'Anchor and Shop Cash'!$J$13*(1-'Anchor and Shop Cash'!$K$13*(1-'Anchor and Shop Cash'!$D$13)),"n.a."),"n.a.")</x:f>
        <x:v>33000</x:v>
      </x:c>
      <x:c r="K14" s="48" t="n">
        <x:f>IF(AND('Anchor and Shop Cash'!N14="OK"),IF(AND(ISNUMBER('Anchor and Shop Cash'!$J$14),ISNUMBER('Anchor and Shop Cash'!$K$14),ISNUMBER('Anchor and Shop Cash'!$D$14)),'Anchor and Shop Cash'!$J$14*(1-'Anchor and Shop Cash'!$K$14*(1-'Anchor and Shop Cash'!$D$14)),"n.a."),"n.a.")</x:f>
        <x:v>33000</x:v>
      </x:c>
      <x:c r="L14" s="48" t="n">
        <x:f>IF(AND('Anchor and Shop Cash'!N15="OK"),IF(AND(ISNUMBER('Anchor and Shop Cash'!$J$15),ISNUMBER('Anchor and Shop Cash'!$K$15),ISNUMBER('Anchor and Shop Cash'!$D$15)),'Anchor and Shop Cash'!$J$15*(1-'Anchor and Shop Cash'!$K$15*(1-'Anchor and Shop Cash'!$D$15)),"n.a."),"n.a.")</x:f>
        <x:v>24750</x:v>
      </x:c>
      <x:c r="M14" s="48" t="n">
        <x:f>IF(AND('Anchor and Shop Cash'!N16="OK"),IF(AND(ISNUMBER('Anchor and Shop Cash'!$J$16),ISNUMBER('Anchor and Shop Cash'!$K$16),ISNUMBER('Anchor and Shop Cash'!$D$16)),'Anchor and Shop Cash'!$J$16*(1-'Anchor and Shop Cash'!$K$16*(1-'Anchor and Shop Cash'!$D$16)),"n.a."),"n.a.")</x:f>
        <x:v>24750</x:v>
      </x:c>
      <x:c r="N14" s="48" t="n">
        <x:f>IF(AND('Anchor and Shop Cash'!N17="OK"),IF(AND(ISNUMBER('Anchor and Shop Cash'!$J$17),ISNUMBER('Anchor and Shop Cash'!$K$17),ISNUMBER('Anchor and Shop Cash'!$D$17)),'Anchor and Shop Cash'!$J$17*(1-'Anchor and Shop Cash'!$K$17*(1-'Anchor and Shop Cash'!$D$17)),"n.a."),"n.a.")</x:f>
        <x:v>24750</x:v>
      </x:c>
      <x:c r="O14" s="48" t="n">
        <x:f>IF(AND('Anchor and Shop Cash'!N18="OK"),IF(AND(ISNUMBER('Anchor and Shop Cash'!$J$18),ISNUMBER('Anchor and Shop Cash'!$K$18),ISNUMBER('Anchor and Shop Cash'!$D$18)),'Anchor and Shop Cash'!$J$18*(1-'Anchor and Shop Cash'!$K$18*(1-'Anchor and Shop Cash'!$D$18)),"n.a."),"n.a.")</x:f>
        <x:v>24750</x:v>
      </x:c>
      <x:c r="P14" s="48" t="n">
        <x:f>IF(AND('Anchor and Shop Cash'!N19="OK"),IF(AND(ISNUMBER('Anchor and Shop Cash'!$J$19),ISNUMBER('Anchor and Shop Cash'!$K$19),ISNUMBER('Anchor and Shop Cash'!$D$19)),'Anchor and Shop Cash'!$J$19*(1-'Anchor and Shop Cash'!$K$19*(1-'Anchor and Shop Cash'!$D$19)),"n.a."),"n.a.")</x:f>
        <x:v>33000</x:v>
      </x:c>
      <x:c r="Q14" s="48" t="n">
        <x:f>IF(AND('Anchor and Shop Cash'!N20="OK"),IF(AND(ISNUMBER('Anchor and Shop Cash'!$J$20),ISNUMBER('Anchor and Shop Cash'!$K$20),ISNUMBER('Anchor and Shop Cash'!$D$20)),'Anchor and Shop Cash'!$J$20*(1-'Anchor and Shop Cash'!$K$20*(1-'Anchor and Shop Cash'!$D$20)),"n.a."),"n.a.")</x:f>
        <x:v>33000</x:v>
      </x:c>
      <x:c r="R14" s="48" t="n">
        <x:f>IF(AND('Anchor and Shop Cash'!N21="OK"),IF(AND(ISNUMBER('Anchor and Shop Cash'!$J$21),ISNUMBER('Anchor and Shop Cash'!$K$21),ISNUMBER('Anchor and Shop Cash'!$D$21)),'Anchor and Shop Cash'!$J$21*(1-'Anchor and Shop Cash'!$K$21*(1-'Anchor and Shop Cash'!$D$21)),"n.a."),"n.a.")</x:f>
        <x:v>33000</x:v>
      </x:c>
    </x:row>
    <x:row r="15" ht="21" customHeight="1">
      <x:c r="A15" s="2"/>
      <x:c r="B15" s="2"/>
      <x:c r="C15" s="53" t="str">
        <x:v>Anchor, shop and recovery cash</x:v>
      </x:c>
      <x:c r="D15" s="53" t="str">
        <x:v>USD</x:v>
      </x:c>
      <x:c r="E15" s="54" t="n">
        <x:f>IF(COUNT(G15:R15)=12,SUM(G15:R15),"n.a.")</x:f>
        <x:v>1876792</x:v>
      </x:c>
      <x:c r="F15" s="53"/>
      <x:c r="G15" s="54" t="n">
        <x:f>IF(AND(ISNUMBER(G13),ISNUMBER(G12),ISNUMBER(G14)),SUM(G13,G12,G14),"n.a.")</x:f>
        <x:v>165160</x:v>
      </x:c>
      <x:c r="H15" s="54" t="n">
        <x:f>IF(AND(ISNUMBER(H13),ISNUMBER(H12),ISNUMBER(H14)),SUM(H13,H12,H14),"n.a.")</x:f>
        <x:v>165160</x:v>
      </x:c>
      <x:c r="I15" s="54" t="n">
        <x:f>IF(AND(ISNUMBER(I13),ISNUMBER(I12),ISNUMBER(I14)),SUM(I13,I12,I14),"n.a.")</x:f>
        <x:v>165160</x:v>
      </x:c>
      <x:c r="J15" s="54" t="n">
        <x:f>IF(AND(ISNUMBER(J13),ISNUMBER(J12),ISNUMBER(J14)),SUM(J13,J12,J14),"n.a.")</x:f>
        <x:v>165160</x:v>
      </x:c>
      <x:c r="K15" s="54" t="n">
        <x:f>IF(AND(ISNUMBER(K13),ISNUMBER(K12),ISNUMBER(K14)),SUM(K13,K12,K14),"n.a.")</x:f>
        <x:v>165160</x:v>
      </x:c>
      <x:c r="L15" s="54" t="n">
        <x:f>IF(AND(ISNUMBER(L13),ISNUMBER(L12),ISNUMBER(L14)),SUM(L13,L12,L14),"n.a.")</x:f>
        <x:v>138878</x:v>
      </x:c>
      <x:c r="M15" s="54" t="n">
        <x:f>IF(AND(ISNUMBER(M13),ISNUMBER(M12),ISNUMBER(M14)),SUM(M13,M12,M14),"n.a.")</x:f>
        <x:v>138878</x:v>
      </x:c>
      <x:c r="N15" s="54" t="n">
        <x:f>IF(AND(ISNUMBER(N13),ISNUMBER(N12),ISNUMBER(N14)),SUM(N13,N12,N14),"n.a.")</x:f>
        <x:v>138878</x:v>
      </x:c>
      <x:c r="O15" s="54" t="n">
        <x:f>IF(AND(ISNUMBER(O13),ISNUMBER(O12),ISNUMBER(O14)),SUM(O13,O12,O14),"n.a.")</x:f>
        <x:v>138878</x:v>
      </x:c>
      <x:c r="P15" s="54" t="n">
        <x:f>IF(AND(ISNUMBER(P13),ISNUMBER(P12),ISNUMBER(P14)),SUM(P13,P12,P14),"n.a.")</x:f>
        <x:v>165160</x:v>
      </x:c>
      <x:c r="Q15" s="54" t="n">
        <x:f>IF(AND(ISNUMBER(Q13),ISNUMBER(Q12),ISNUMBER(Q14)),SUM(Q13,Q12,Q14),"n.a.")</x:f>
        <x:v>165160</x:v>
      </x:c>
      <x:c r="R15" s="54" t="n">
        <x:f>IF(AND(ISNUMBER(R13),ISNUMBER(R12),ISNUMBER(R14)),SUM(R13,R12,R14),"n.a.")</x:f>
        <x:v>165160</x:v>
      </x:c>
    </x:row>
    <x:row r="16" ht="21" customHeight="1">
      <x:c r="A16" s="2"/>
      <x:c r="B16" s="2"/>
      <x:c r="C16" s="2" t="str">
        <x:v>Center operating costs</x:v>
      </x:c>
      <x:c r="D16" s="2" t="str">
        <x:v>USD</x:v>
      </x:c>
      <x:c r="E16" s="49" t="n">
        <x:f>IF(COUNT(G16:R16)=12,SUM(G16:R16),"n.a.")</x:f>
        <x:v>516000</x:v>
      </x:c>
      <x:c r="F16" s="2"/>
      <x:c r="G16" s="48" t="n">
        <x:f>IF(AND('Anchor and Shop Cash'!N10="OK"),IF(AND(ISNUMBER('Anchor and Shop Cash'!$L$10),ISNUMBER('Assumptions'!$D$67)),'Anchor and Shop Cash'!$L$10*'Assumptions'!$D$67,"n.a."),"n.a.")</x:f>
        <x:v>43000</x:v>
      </x:c>
      <x:c r="H16" s="48" t="n">
        <x:f>IF(AND('Anchor and Shop Cash'!N11="OK"),IF(AND(ISNUMBER('Anchor and Shop Cash'!$L$11),ISNUMBER('Assumptions'!$D$67)),'Anchor and Shop Cash'!$L$11*'Assumptions'!$D$67,"n.a."),"n.a.")</x:f>
        <x:v>43000</x:v>
      </x:c>
      <x:c r="I16" s="48" t="n">
        <x:f>IF(AND('Anchor and Shop Cash'!N12="OK"),IF(AND(ISNUMBER('Anchor and Shop Cash'!$L$12),ISNUMBER('Assumptions'!$D$67)),'Anchor and Shop Cash'!$L$12*'Assumptions'!$D$67,"n.a."),"n.a.")</x:f>
        <x:v>43000</x:v>
      </x:c>
      <x:c r="J16" s="48" t="n">
        <x:f>IF(AND('Anchor and Shop Cash'!N13="OK"),IF(AND(ISNUMBER('Anchor and Shop Cash'!$L$13),ISNUMBER('Assumptions'!$D$67)),'Anchor and Shop Cash'!$L$13*'Assumptions'!$D$67,"n.a."),"n.a.")</x:f>
        <x:v>43000</x:v>
      </x:c>
      <x:c r="K16" s="48" t="n">
        <x:f>IF(AND('Anchor and Shop Cash'!N14="OK"),IF(AND(ISNUMBER('Anchor and Shop Cash'!$L$14),ISNUMBER('Assumptions'!$D$67)),'Anchor and Shop Cash'!$L$14*'Assumptions'!$D$67,"n.a."),"n.a.")</x:f>
        <x:v>43000</x:v>
      </x:c>
      <x:c r="L16" s="48" t="n">
        <x:f>IF(AND('Anchor and Shop Cash'!N15="OK"),IF(AND(ISNUMBER('Anchor and Shop Cash'!$L$15),ISNUMBER('Assumptions'!$D$67)),'Anchor and Shop Cash'!$L$15*'Assumptions'!$D$67,"n.a."),"n.a.")</x:f>
        <x:v>43000</x:v>
      </x:c>
      <x:c r="M16" s="48" t="n">
        <x:f>IF(AND('Anchor and Shop Cash'!N16="OK"),IF(AND(ISNUMBER('Anchor and Shop Cash'!$L$16),ISNUMBER('Assumptions'!$D$67)),'Anchor and Shop Cash'!$L$16*'Assumptions'!$D$67,"n.a."),"n.a.")</x:f>
        <x:v>43000</x:v>
      </x:c>
      <x:c r="N16" s="48" t="n">
        <x:f>IF(AND('Anchor and Shop Cash'!N17="OK"),IF(AND(ISNUMBER('Anchor and Shop Cash'!$L$17),ISNUMBER('Assumptions'!$D$67)),'Anchor and Shop Cash'!$L$17*'Assumptions'!$D$67,"n.a."),"n.a.")</x:f>
        <x:v>43000</x:v>
      </x:c>
      <x:c r="O16" s="48" t="n">
        <x:f>IF(AND('Anchor and Shop Cash'!N18="OK"),IF(AND(ISNUMBER('Anchor and Shop Cash'!$L$18),ISNUMBER('Assumptions'!$D$67)),'Anchor and Shop Cash'!$L$18*'Assumptions'!$D$67,"n.a."),"n.a.")</x:f>
        <x:v>43000</x:v>
      </x:c>
      <x:c r="P16" s="48" t="n">
        <x:f>IF(AND('Anchor and Shop Cash'!N19="OK"),IF(AND(ISNUMBER('Anchor and Shop Cash'!$L$19),ISNUMBER('Assumptions'!$D$67)),'Anchor and Shop Cash'!$L$19*'Assumptions'!$D$67,"n.a."),"n.a.")</x:f>
        <x:v>43000</x:v>
      </x:c>
      <x:c r="Q16" s="48" t="n">
        <x:f>IF(AND('Anchor and Shop Cash'!N20="OK"),IF(AND(ISNUMBER('Anchor and Shop Cash'!$L$20),ISNUMBER('Assumptions'!$D$67)),'Anchor and Shop Cash'!$L$20*'Assumptions'!$D$67,"n.a."),"n.a.")</x:f>
        <x:v>43000</x:v>
      </x:c>
      <x:c r="R16" s="48" t="n">
        <x:f>IF(AND('Anchor and Shop Cash'!N21="OK"),IF(AND(ISNUMBER('Anchor and Shop Cash'!$L$21),ISNUMBER('Assumptions'!$D$67)),'Anchor and Shop Cash'!$L$21*'Assumptions'!$D$67,"n.a."),"n.a.")</x:f>
        <x:v>43000</x:v>
      </x:c>
    </x:row>
    <x:row r="17" ht="21" customHeight="1">
      <x:c r="A17" s="2"/>
      <x:c r="B17" s="2"/>
      <x:c r="C17" s="2" t="str">
        <x:v>Anchor and center capital cash</x:v>
      </x:c>
      <x:c r="D17" s="2" t="str">
        <x:v>USD</x:v>
      </x:c>
      <x:c r="E17" s="49" t="n">
        <x:f>IF(COUNT(G17:R17)=12,SUM(G17:R17),"n.a.")</x:f>
        <x:v>446000</x:v>
      </x:c>
      <x:c r="F17" s="2"/>
      <x:c r="G17" s="48" t="n">
        <x:f>IF(AND('Anchor and Shop Cash'!N10="OK"),IF(AND(ISNUMBER('Anchor and Shop Cash'!$M$10),ISNUMBER('Assumptions'!$D$70)),'Anchor and Shop Cash'!$M$10*'Assumptions'!$D$70,"n.a."),"n.a.")</x:f>
        <x:v>6000</x:v>
      </x:c>
      <x:c r="H17" s="48" t="n">
        <x:f>IF(AND('Anchor and Shop Cash'!N11="OK"),IF(AND(ISNUMBER('Anchor and Shop Cash'!$M$11),ISNUMBER('Assumptions'!$D$70)),'Anchor and Shop Cash'!$M$11*'Assumptions'!$D$70,"n.a."),"n.a.")</x:f>
        <x:v>6000</x:v>
      </x:c>
      <x:c r="I17" s="48" t="n">
        <x:f>IF(AND('Anchor and Shop Cash'!N12="OK"),IF(AND(ISNUMBER('Anchor and Shop Cash'!$M$12),ISNUMBER('Assumptions'!$D$70)),'Anchor and Shop Cash'!$M$12*'Assumptions'!$D$70,"n.a."),"n.a.")</x:f>
        <x:v>6000</x:v>
      </x:c>
      <x:c r="J17" s="48" t="n">
        <x:f>IF(AND('Anchor and Shop Cash'!N13="OK"),IF(AND(ISNUMBER('Anchor and Shop Cash'!$M$13),ISNUMBER('Assumptions'!$D$70)),'Anchor and Shop Cash'!$M$13*'Assumptions'!$D$70,"n.a."),"n.a.")</x:f>
        <x:v>6000</x:v>
      </x:c>
      <x:c r="K17" s="48" t="n">
        <x:f>IF(AND('Anchor and Shop Cash'!N14="OK"),IF(AND(ISNUMBER('Anchor and Shop Cash'!$M$14),ISNUMBER('Assumptions'!$D$70)),'Anchor and Shop Cash'!$M$14*'Assumptions'!$D$70,"n.a."),"n.a.")</x:f>
        <x:v>6000</x:v>
      </x:c>
      <x:c r="L17" s="48" t="n">
        <x:f>IF(AND('Anchor and Shop Cash'!N15="OK"),IF(AND(ISNUMBER('Anchor and Shop Cash'!$M$15),ISNUMBER('Assumptions'!$D$70)),'Anchor and Shop Cash'!$M$15*'Assumptions'!$D$70,"n.a."),"n.a.")</x:f>
        <x:v>6000</x:v>
      </x:c>
      <x:c r="M17" s="48" t="n">
        <x:f>IF(AND('Anchor and Shop Cash'!N16="OK"),IF(AND(ISNUMBER('Anchor and Shop Cash'!$M$16),ISNUMBER('Assumptions'!$D$70)),'Anchor and Shop Cash'!$M$16*'Assumptions'!$D$70,"n.a."),"n.a.")</x:f>
        <x:v>6000</x:v>
      </x:c>
      <x:c r="N17" s="48" t="n">
        <x:f>IF(AND('Anchor and Shop Cash'!N17="OK"),IF(AND(ISNUMBER('Anchor and Shop Cash'!$M$17),ISNUMBER('Assumptions'!$D$70)),'Anchor and Shop Cash'!$M$17*'Assumptions'!$D$70,"n.a."),"n.a.")</x:f>
        <x:v>6000</x:v>
      </x:c>
      <x:c r="O17" s="48" t="n">
        <x:f>IF(AND('Anchor and Shop Cash'!N18="OK"),IF(AND(ISNUMBER('Anchor and Shop Cash'!$M$18),ISNUMBER('Assumptions'!$D$70)),'Anchor and Shop Cash'!$M$18*'Assumptions'!$D$70,"n.a."),"n.a.")</x:f>
        <x:v>380000</x:v>
      </x:c>
      <x:c r="P17" s="48" t="n">
        <x:f>IF(AND('Anchor and Shop Cash'!N19="OK"),IF(AND(ISNUMBER('Anchor and Shop Cash'!$M$19),ISNUMBER('Assumptions'!$D$70)),'Anchor and Shop Cash'!$M$19*'Assumptions'!$D$70,"n.a."),"n.a.")</x:f>
        <x:v>6000</x:v>
      </x:c>
      <x:c r="Q17" s="48" t="n">
        <x:f>IF(AND('Anchor and Shop Cash'!N20="OK"),IF(AND(ISNUMBER('Anchor and Shop Cash'!$M$20),ISNUMBER('Assumptions'!$D$70)),'Anchor and Shop Cash'!$M$20*'Assumptions'!$D$70,"n.a."),"n.a.")</x:f>
        <x:v>6000</x:v>
      </x:c>
      <x:c r="R17" s="48" t="n">
        <x:f>IF(AND('Anchor and Shop Cash'!N21="OK"),IF(AND(ISNUMBER('Anchor and Shop Cash'!$M$21),ISNUMBER('Assumptions'!$D$70)),'Anchor and Shop Cash'!$M$21*'Assumptions'!$D$70,"n.a."),"n.a.")</x:f>
        <x:v>6000</x:v>
      </x:c>
    </x:row>
    <x:row r="18" ht="21" customHeight="1">
      <x:c r="A18" s="2"/>
      <x:c r="B18" s="2"/>
      <x:c r="C18" s="2" t="str">
        <x:v>Fixed property / entity costs</x:v>
      </x:c>
      <x:c r="D18" s="2" t="str">
        <x:v>USD</x:v>
      </x:c>
      <x:c r="E18" s="49" t="n">
        <x:f>IF(COUNT(G18:R18)=12,SUM(G18:R18),"n.a.")</x:f>
        <x:v>229999.99999999997</x:v>
      </x:c>
      <x:c r="F18" s="2"/>
      <x:c r="G18" s="48" t="n">
        <x:f>IF(AND(ISNUMBER('Assumptions'!$D$55)),'Assumptions'!$D$55/12,"n.a.")</x:f>
        <x:v>19166.666666666668</x:v>
      </x:c>
      <x:c r="H18" s="48" t="n">
        <x:f>IF(AND(ISNUMBER('Assumptions'!$D$55)),'Assumptions'!$D$55/12,"n.a.")</x:f>
        <x:v>19166.666666666668</x:v>
      </x:c>
      <x:c r="I18" s="48" t="n">
        <x:f>IF(AND(ISNUMBER('Assumptions'!$D$55)),'Assumptions'!$D$55/12,"n.a.")</x:f>
        <x:v>19166.666666666668</x:v>
      </x:c>
      <x:c r="J18" s="48" t="n">
        <x:f>IF(AND(ISNUMBER('Assumptions'!$D$55)),'Assumptions'!$D$55/12,"n.a.")</x:f>
        <x:v>19166.666666666668</x:v>
      </x:c>
      <x:c r="K18" s="48" t="n">
        <x:f>IF(AND(ISNUMBER('Assumptions'!$D$55)),'Assumptions'!$D$55/12,"n.a.")</x:f>
        <x:v>19166.666666666668</x:v>
      </x:c>
      <x:c r="L18" s="48" t="n">
        <x:f>IF(AND(ISNUMBER('Assumptions'!$D$55)),'Assumptions'!$D$55/12,"n.a.")</x:f>
        <x:v>19166.666666666668</x:v>
      </x:c>
      <x:c r="M18" s="48" t="n">
        <x:f>IF(AND(ISNUMBER('Assumptions'!$D$55)),'Assumptions'!$D$55/12,"n.a.")</x:f>
        <x:v>19166.666666666668</x:v>
      </x:c>
      <x:c r="N18" s="48" t="n">
        <x:f>IF(AND(ISNUMBER('Assumptions'!$D$55)),'Assumptions'!$D$55/12,"n.a.")</x:f>
        <x:v>19166.666666666668</x:v>
      </x:c>
      <x:c r="O18" s="48" t="n">
        <x:f>IF(AND(ISNUMBER('Assumptions'!$D$55)),'Assumptions'!$D$55/12,"n.a.")</x:f>
        <x:v>19166.666666666668</x:v>
      </x:c>
      <x:c r="P18" s="48" t="n">
        <x:f>IF(AND(ISNUMBER('Assumptions'!$D$55)),'Assumptions'!$D$55/12,"n.a.")</x:f>
        <x:v>19166.666666666668</x:v>
      </x:c>
      <x:c r="Q18" s="48" t="n">
        <x:f>IF(AND(ISNUMBER('Assumptions'!$D$55)),'Assumptions'!$D$55/12,"n.a.")</x:f>
        <x:v>19166.666666666668</x:v>
      </x:c>
      <x:c r="R18" s="48" t="n">
        <x:f>IF(AND(ISNUMBER('Assumptions'!$D$55)),'Assumptions'!$D$55/12,"n.a.")</x:f>
        <x:v>19166.666666666668</x:v>
      </x:c>
    </x:row>
    <x:row r="19" ht="21" customHeight="1">
      <x:c r="A19" s="2"/>
      <x:c r="B19" s="2"/>
      <x:c r="C19" s="53" t="str">
        <x:v>Total cash operating costs</x:v>
      </x:c>
      <x:c r="D19" s="53" t="str">
        <x:v>USD</x:v>
      </x:c>
      <x:c r="E19" s="54" t="n">
        <x:f>IF(COUNT(G19:R19)=12,SUM(G19:R19),"n.a.")</x:f>
        <x:v>746000</x:v>
      </x:c>
      <x:c r="F19" s="53"/>
      <x:c r="G19" s="54" t="n">
        <x:f>IF(AND(ISNUMBER(G16),ISNUMBER(G18)),G16+G18,"n.a.")</x:f>
        <x:v>62166.66666666667</x:v>
      </x:c>
      <x:c r="H19" s="54" t="n">
        <x:f>IF(AND(ISNUMBER(H16),ISNUMBER(H18)),H16+H18,"n.a.")</x:f>
        <x:v>62166.66666666667</x:v>
      </x:c>
      <x:c r="I19" s="54" t="n">
        <x:f>IF(AND(ISNUMBER(I16),ISNUMBER(I18)),I16+I18,"n.a.")</x:f>
        <x:v>62166.66666666667</x:v>
      </x:c>
      <x:c r="J19" s="54" t="n">
        <x:f>IF(AND(ISNUMBER(J16),ISNUMBER(J18)),J16+J18,"n.a.")</x:f>
        <x:v>62166.66666666667</x:v>
      </x:c>
      <x:c r="K19" s="54" t="n">
        <x:f>IF(AND(ISNUMBER(K16),ISNUMBER(K18)),K16+K18,"n.a.")</x:f>
        <x:v>62166.66666666667</x:v>
      </x:c>
      <x:c r="L19" s="54" t="n">
        <x:f>IF(AND(ISNUMBER(L16),ISNUMBER(L18)),L16+L18,"n.a.")</x:f>
        <x:v>62166.66666666667</x:v>
      </x:c>
      <x:c r="M19" s="54" t="n">
        <x:f>IF(AND(ISNUMBER(M16),ISNUMBER(M18)),M16+M18,"n.a.")</x:f>
        <x:v>62166.66666666667</x:v>
      </x:c>
      <x:c r="N19" s="54" t="n">
        <x:f>IF(AND(ISNUMBER(N16),ISNUMBER(N18)),N16+N18,"n.a.")</x:f>
        <x:v>62166.66666666667</x:v>
      </x:c>
      <x:c r="O19" s="54" t="n">
        <x:f>IF(AND(ISNUMBER(O16),ISNUMBER(O18)),O16+O18,"n.a.")</x:f>
        <x:v>62166.66666666667</x:v>
      </x:c>
      <x:c r="P19" s="54" t="n">
        <x:f>IF(AND(ISNUMBER(P16),ISNUMBER(P18)),P16+P18,"n.a.")</x:f>
        <x:v>62166.66666666667</x:v>
      </x:c>
      <x:c r="Q19" s="54" t="n">
        <x:f>IF(AND(ISNUMBER(Q16),ISNUMBER(Q18)),Q16+Q18,"n.a.")</x:f>
        <x:v>62166.66666666667</x:v>
      </x:c>
      <x:c r="R19" s="54" t="n">
        <x:f>IF(AND(ISNUMBER(R16),ISNUMBER(R18)),R16+R18,"n.a.")</x:f>
        <x:v>62166.66666666667</x:v>
      </x:c>
    </x:row>
    <x:row r="20" ht="21" customHeight="1">
      <x:c r="A20" s="2"/>
      <x:c r="B20" s="2"/>
      <x:c r="C20" s="53" t="str">
        <x:v>NOI / operating cash before reserves</x:v>
      </x:c>
      <x:c r="D20" s="53" t="str">
        <x:v>USD</x:v>
      </x:c>
      <x:c r="E20" s="54" t="n">
        <x:f>IF(COUNT(G20:R20)=12,SUM(G20:R20),"n.a.")</x:f>
        <x:v>1130792.0000000002</x:v>
      </x:c>
      <x:c r="F20" s="53"/>
      <x:c r="G20" s="54" t="n">
        <x:f>IF(AND(ISNUMBER(G15),ISNUMBER(G19)),G15-G19,"n.a.")</x:f>
        <x:v>102993.33333333333</x:v>
      </x:c>
      <x:c r="H20" s="54" t="n">
        <x:f>IF(AND(ISNUMBER(H15),ISNUMBER(H19)),H15-H19,"n.a.")</x:f>
        <x:v>102993.33333333333</x:v>
      </x:c>
      <x:c r="I20" s="54" t="n">
        <x:f>IF(AND(ISNUMBER(I15),ISNUMBER(I19)),I15-I19,"n.a.")</x:f>
        <x:v>102993.33333333333</x:v>
      </x:c>
      <x:c r="J20" s="54" t="n">
        <x:f>IF(AND(ISNUMBER(J15),ISNUMBER(J19)),J15-J19,"n.a.")</x:f>
        <x:v>102993.33333333333</x:v>
      </x:c>
      <x:c r="K20" s="54" t="n">
        <x:f>IF(AND(ISNUMBER(K15),ISNUMBER(K19)),K15-K19,"n.a.")</x:f>
        <x:v>102993.33333333333</x:v>
      </x:c>
      <x:c r="L20" s="54" t="n">
        <x:f>IF(AND(ISNUMBER(L15),ISNUMBER(L19)),L15-L19,"n.a.")</x:f>
        <x:v>76711.33333333333</x:v>
      </x:c>
      <x:c r="M20" s="54" t="n">
        <x:f>IF(AND(ISNUMBER(M15),ISNUMBER(M19)),M15-M19,"n.a.")</x:f>
        <x:v>76711.33333333333</x:v>
      </x:c>
      <x:c r="N20" s="54" t="n">
        <x:f>IF(AND(ISNUMBER(N15),ISNUMBER(N19)),N15-N19,"n.a.")</x:f>
        <x:v>76711.33333333333</x:v>
      </x:c>
      <x:c r="O20" s="54" t="n">
        <x:f>IF(AND(ISNUMBER(O15),ISNUMBER(O19)),O15-O19,"n.a.")</x:f>
        <x:v>76711.33333333333</x:v>
      </x:c>
      <x:c r="P20" s="54" t="n">
        <x:f>IF(AND(ISNUMBER(P15),ISNUMBER(P19)),P15-P19,"n.a.")</x:f>
        <x:v>102993.33333333333</x:v>
      </x:c>
      <x:c r="Q20" s="54" t="n">
        <x:f>IF(AND(ISNUMBER(Q15),ISNUMBER(Q19)),Q15-Q19,"n.a.")</x:f>
        <x:v>102993.33333333333</x:v>
      </x:c>
      <x:c r="R20" s="54" t="n">
        <x:f>IF(AND(ISNUMBER(R15),ISNUMBER(R19)),R15-R19,"n.a.")</x:f>
        <x:v>102993.33333333333</x:v>
      </x:c>
    </x:row>
    <x:row r="21" ht="21" customHeight="1">
      <x:c r="A21" s="2"/>
      <x:c r="B21" s="2"/>
      <x:c r="C21" s="2" t="str">
        <x:v>Cash replacement reserve deposits</x:v>
      </x:c>
      <x:c r="D21" s="2" t="str">
        <x:v>USD</x:v>
      </x:c>
      <x:c r="E21" s="49" t="n">
        <x:f>IF(COUNT(G21:R21)=12,SUM(G21:R21),"n.a.")</x:f>
        <x:v>56303.76000000001</x:v>
      </x:c>
      <x:c r="F21" s="2"/>
      <x:c r="G21" s="48" t="n">
        <x:f>IF(AND(ISNUMBER(G15),ISNUMBER('Assumptions'!$D$58)),MAX(0,G15)*'Assumptions'!$D$58,"n.a.")</x:f>
        <x:v>4954.8</x:v>
      </x:c>
      <x:c r="H21" s="48" t="n">
        <x:f>IF(AND(ISNUMBER(H15),ISNUMBER('Assumptions'!$D$58)),MAX(0,H15)*'Assumptions'!$D$58,"n.a.")</x:f>
        <x:v>4954.8</x:v>
      </x:c>
      <x:c r="I21" s="48" t="n">
        <x:f>IF(AND(ISNUMBER(I15),ISNUMBER('Assumptions'!$D$58)),MAX(0,I15)*'Assumptions'!$D$58,"n.a.")</x:f>
        <x:v>4954.8</x:v>
      </x:c>
      <x:c r="J21" s="48" t="n">
        <x:f>IF(AND(ISNUMBER(J15),ISNUMBER('Assumptions'!$D$58)),MAX(0,J15)*'Assumptions'!$D$58,"n.a.")</x:f>
        <x:v>4954.8</x:v>
      </x:c>
      <x:c r="K21" s="48" t="n">
        <x:f>IF(AND(ISNUMBER(K15),ISNUMBER('Assumptions'!$D$58)),MAX(0,K15)*'Assumptions'!$D$58,"n.a.")</x:f>
        <x:v>4954.8</x:v>
      </x:c>
      <x:c r="L21" s="48" t="n">
        <x:f>IF(AND(ISNUMBER(L15),ISNUMBER('Assumptions'!$D$58)),MAX(0,L15)*'Assumptions'!$D$58,"n.a.")</x:f>
        <x:v>4166.34</x:v>
      </x:c>
      <x:c r="M21" s="48" t="n">
        <x:f>IF(AND(ISNUMBER(M15),ISNUMBER('Assumptions'!$D$58)),MAX(0,M15)*'Assumptions'!$D$58,"n.a.")</x:f>
        <x:v>4166.34</x:v>
      </x:c>
      <x:c r="N21" s="48" t="n">
        <x:f>IF(AND(ISNUMBER(N15),ISNUMBER('Assumptions'!$D$58)),MAX(0,N15)*'Assumptions'!$D$58,"n.a.")</x:f>
        <x:v>4166.34</x:v>
      </x:c>
      <x:c r="O21" s="48" t="n">
        <x:f>IF(AND(ISNUMBER(O15),ISNUMBER('Assumptions'!$D$58)),MAX(0,O15)*'Assumptions'!$D$58,"n.a.")</x:f>
        <x:v>4166.34</x:v>
      </x:c>
      <x:c r="P21" s="48" t="n">
        <x:f>IF(AND(ISNUMBER(P15),ISNUMBER('Assumptions'!$D$58)),MAX(0,P15)*'Assumptions'!$D$58,"n.a.")</x:f>
        <x:v>4954.8</x:v>
      </x:c>
      <x:c r="Q21" s="48" t="n">
        <x:f>IF(AND(ISNUMBER(Q15),ISNUMBER('Assumptions'!$D$58)),MAX(0,Q15)*'Assumptions'!$D$58,"n.a.")</x:f>
        <x:v>4954.8</x:v>
      </x:c>
      <x:c r="R21" s="48" t="n">
        <x:f>IF(AND(ISNUMBER(R15),ISNUMBER('Assumptions'!$D$58)),MAX(0,R15)*'Assumptions'!$D$58,"n.a.")</x:f>
        <x:v>4954.8</x:v>
      </x:c>
    </x:row>
    <x:row r="22" ht="21" customHeight="1">
      <x:c r="A22" s="2"/>
      <x:c r="B22" s="2"/>
      <x:c r="C22" s="53" t="str">
        <x:v>Cash NCF before property debt / capital</x:v>
      </x:c>
      <x:c r="D22" s="53" t="str">
        <x:v>USD</x:v>
      </x:c>
      <x:c r="E22" s="54" t="n">
        <x:f>IF(COUNT(G22:R22)=12,SUM(G22:R22),"n.a.")</x:f>
        <x:v>1074488.2399999998</x:v>
      </x:c>
      <x:c r="F22" s="53"/>
      <x:c r="G22" s="54" t="n">
        <x:f>IF(AND(ISNUMBER(G20),ISNUMBER(G21)),G20-G21,"n.a.")</x:f>
        <x:v>98038.53333333333</x:v>
      </x:c>
      <x:c r="H22" s="54" t="n">
        <x:f>IF(AND(ISNUMBER(H20),ISNUMBER(H21)),H20-H21,"n.a.")</x:f>
        <x:v>98038.53333333333</x:v>
      </x:c>
      <x:c r="I22" s="54" t="n">
        <x:f>IF(AND(ISNUMBER(I20),ISNUMBER(I21)),I20-I21,"n.a.")</x:f>
        <x:v>98038.53333333333</x:v>
      </x:c>
      <x:c r="J22" s="54" t="n">
        <x:f>IF(AND(ISNUMBER(J20),ISNUMBER(J21)),J20-J21,"n.a.")</x:f>
        <x:v>98038.53333333333</x:v>
      </x:c>
      <x:c r="K22" s="54" t="n">
        <x:f>IF(AND(ISNUMBER(K20),ISNUMBER(K21)),K20-K21,"n.a.")</x:f>
        <x:v>98038.53333333333</x:v>
      </x:c>
      <x:c r="L22" s="54" t="n">
        <x:f>IF(AND(ISNUMBER(L20),ISNUMBER(L21)),L20-L21,"n.a.")</x:f>
        <x:v>72544.99333333333</x:v>
      </x:c>
      <x:c r="M22" s="54" t="n">
        <x:f>IF(AND(ISNUMBER(M20),ISNUMBER(M21)),M20-M21,"n.a.")</x:f>
        <x:v>72544.99333333333</x:v>
      </x:c>
      <x:c r="N22" s="54" t="n">
        <x:f>IF(AND(ISNUMBER(N20),ISNUMBER(N21)),N20-N21,"n.a.")</x:f>
        <x:v>72544.99333333333</x:v>
      </x:c>
      <x:c r="O22" s="54" t="n">
        <x:f>IF(AND(ISNUMBER(O20),ISNUMBER(O21)),O20-O21,"n.a.")</x:f>
        <x:v>72544.99333333333</x:v>
      </x:c>
      <x:c r="P22" s="54" t="n">
        <x:f>IF(AND(ISNUMBER(P20),ISNUMBER(P21)),P20-P21,"n.a.")</x:f>
        <x:v>98038.53333333333</x:v>
      </x:c>
      <x:c r="Q22" s="54" t="n">
        <x:f>IF(AND(ISNUMBER(Q20),ISNUMBER(Q21)),Q20-Q21,"n.a.")</x:f>
        <x:v>98038.53333333333</x:v>
      </x:c>
      <x:c r="R22" s="54" t="n">
        <x:f>IF(AND(ISNUMBER(R20),ISNUMBER(R21)),R20-R21,"n.a.")</x:f>
        <x:v>98038.53333333333</x:v>
      </x:c>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21" customHeight="1">
      <x:c r="A28" s="2"/>
      <x:c r="B28" s="2"/>
      <x:c r="C28" s="2"/>
      <x:c r="D28" s="2"/>
      <x:c r="E28" s="2"/>
      <x:c r="F28" s="2"/>
      <x:c r="G28" s="2"/>
      <x:c r="H28" s="2"/>
      <x:c r="I28" s="2"/>
      <x:c r="J28" s="2"/>
      <x:c r="K28" s="2"/>
      <x:c r="L28" s="2"/>
      <x:c r="M28" s="2"/>
      <x:c r="N28" s="2"/>
      <x:c r="O28" s="2"/>
      <x:c r="P28" s="2"/>
      <x:c r="Q28" s="2"/>
      <x:c r="R28" s="2"/>
    </x:row>
    <x:row r="29" ht="21" customHeight="1">
      <x:c r="A29" s="2"/>
      <x:c r="B29" s="2"/>
      <x:c r="C29" s="2"/>
      <x:c r="D29" s="2"/>
      <x:c r="E29" s="2"/>
      <x:c r="F29" s="2"/>
      <x:c r="G29" s="2"/>
      <x:c r="H29" s="2"/>
      <x:c r="I29" s="2"/>
      <x:c r="J29" s="2"/>
      <x:c r="K29" s="2"/>
      <x:c r="L29" s="2"/>
      <x:c r="M29" s="2"/>
      <x:c r="N29" s="2"/>
      <x:c r="O29" s="2"/>
      <x:c r="P29" s="2"/>
      <x:c r="Q29" s="2"/>
      <x:c r="R29" s="2"/>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48" t="n">
        <x:f>IF(AND(ISNUMBER('Operations'!E22),ISNUMBER('Assumptions'!$D$52)),'Operations'!E22+'Assumptions'!$D$52,"n.a.")</x:f>
        <x:v>1074488.2399999998</x:v>
      </x:c>
      <x:c r="E9" s="2"/>
      <x:c r="F9" s="2"/>
      <x:c r="G9" s="2"/>
      <x:c r="H9" s="2"/>
      <x:c r="I9" s="2"/>
      <x:c r="J9" s="2"/>
      <x:c r="K9" s="2"/>
      <x:c r="L9" s="2"/>
      <x:c r="M9" s="2"/>
      <x:c r="N9" s="2"/>
      <x:c r="O9" s="2"/>
      <x:c r="P9" s="2"/>
      <x:c r="Q9" s="2"/>
      <x:c r="R9" s="2"/>
    </x:row>
    <x:row r="10" ht="21" customHeight="1">
      <x:c r="A10" s="2"/>
      <x:c r="B10" s="2"/>
      <x:c r="C10" s="2" t="str">
        <x:v>Monthly amortizing factor</x:v>
      </x:c>
      <x:c r="D10" s="56"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48" t="n">
        <x:f>IF(AND(ISNUMBER(D9),ISNUMBER('Assumptions'!$D$46),ISNUMBER(D10)),MAX(0,D9)/'Assumptions'!$D$46/(D10*12),"n.a.")</x:f>
        <x:v>10608973.576400222</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48" t="n">
        <x:f>IF(AND(ISNUMBER('Assumptions'!$D$10),ISNUMBER('Assumptions'!$D$43)),'Assumptions'!$D$10*'Assumptions'!$D$43,"n.a.")</x:f>
        <x:v>10400000</x:v>
      </x:c>
      <x:c r="E12" s="2"/>
      <x:c r="F12" s="2"/>
      <x:c r="G12" s="2"/>
      <x:c r="H12" s="2"/>
      <x:c r="I12" s="2"/>
      <x:c r="J12" s="2"/>
      <x:c r="K12" s="2"/>
      <x:c r="L12" s="2"/>
      <x:c r="M12" s="2"/>
      <x:c r="N12" s="2"/>
      <x:c r="O12" s="2"/>
      <x:c r="P12" s="2"/>
      <x:c r="Q12" s="2"/>
      <x:c r="R12" s="2"/>
    </x:row>
    <x:row r="13" ht="21" customHeight="1">
      <x:c r="A13" s="2"/>
      <x:c r="B13" s="2"/>
      <x:c r="C13" s="2" t="str">
        <x:v>Debt-yield loan capacity</x:v>
      </x:c>
      <x:c r="D13" s="48" t="n">
        <x:f>IF(AND(ISNUMBER(D9),ISNUMBER('Assumptions'!$D$49)),MAX(0,D9)/'Assumptions'!$D$49,"n.a.")</x:f>
        <x:v>11938758.22222222</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48" t="n">
        <x:f>IF(AND(ISNUMBER(D11),ISNUMBER(D12),ISNUMBER(D13),ISNUMBER('Assumptions'!$D$28)),MIN(D11,D12,D13,'Assumptions'!$D$28),"n.a.")</x:f>
        <x:v>9500000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49" t="n">
        <x:f>IF(AND(ISNUMBER(D14),ISNUMBER(D10)),D14*D10,"n.a.")</x:f>
        <x:v>64144.680328025956</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48" t="n">
        <x:f>IF(AND(ISNUMBER('Assumptions'!$D$13),ISNUMBER('Assumptions'!$D$16),ISNUMBER('Assumptions'!$D$19),ISNUMBER('Assumptions'!$D$22)),'Assumptions'!$D$13+'Assumptions'!$D$16+'Assumptions'!$D$19+'Assumptions'!$D$22,"n.a.")</x:f>
        <x:v>15500000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49" t="n">
        <x:f>IF(AND(ISNUMBER(D17),ISNUMBER(D14)),D17-D14,"n.a.")</x:f>
        <x:v>6000000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48" t="n">
        <x:f>IF(AND(ISNUMBER('Assumptions'!$D$25),ISNUMBER(D18)),'Assumptions'!$D$25-D18,"n.a.")</x:f>
        <x:v>1500000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48"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8706695.89816864</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57" t="n">
        <x:f>IF(AND(ISNUMBER(D14)),D14,"n.a.")</x:f>
        <x:v>9500000</x:v>
      </x:c>
      <x:c r="H29" s="57" t="n">
        <x:f>IF(AND(ISNUMBER(G33)),G33,"n.a.")</x:f>
        <x:v>9500000</x:v>
      </x:c>
      <x:c r="I29" s="57" t="n">
        <x:f>IF(AND(ISNUMBER(H33)),H33,"n.a.")</x:f>
        <x:v>9500000</x:v>
      </x:c>
      <x:c r="J29" s="57" t="n">
        <x:f>IF(AND(ISNUMBER(I33)),I33,"n.a.")</x:f>
        <x:v>9500000</x:v>
      </x:c>
      <x:c r="K29" s="57" t="n">
        <x:f>IF(AND(ISNUMBER(J33)),J33,"n.a.")</x:f>
        <x:v>9500000</x:v>
      </x:c>
      <x:c r="L29" s="57" t="n">
        <x:f>IF(AND(ISNUMBER(K33)),K33,"n.a.")</x:f>
        <x:v>9500000</x:v>
      </x:c>
      <x:c r="M29" s="57" t="n">
        <x:f>IF(AND(ISNUMBER(L33)),L33,"n.a.")</x:f>
        <x:v>9500000</x:v>
      </x:c>
      <x:c r="N29" s="57" t="n">
        <x:f>IF(AND(ISNUMBER(M33)),M33,"n.a.")</x:f>
        <x:v>9487313.653005308</x:v>
      </x:c>
      <x:c r="O29" s="57" t="n">
        <x:f>IF(AND(ISNUMBER(N33)),N33,"n.a.")</x:f>
        <x:v>9474558.588297727</x:v>
      </x:c>
      <x:c r="P29" s="57" t="n">
        <x:f>IF(AND(ISNUMBER(O33)),O33,"n.a.")</x:f>
        <x:v>9461734.433656313</x:v>
      </x:c>
      <x:c r="Q29" s="57" t="n">
        <x:f>IF(AND(ISNUMBER(P33)),P33,"n.a.")</x:f>
        <x:v>9448840.814843925</x:v>
      </x:c>
      <x:c r="R29" s="57" t="n">
        <x:f>IF(AND(ISNUMBER(Q33)),Q33,"n.a.")</x:f>
        <x:v>9435877.355596304</x:v>
      </x:c>
    </x:row>
    <x:row r="30" ht="21" customHeight="1">
      <x:c r="A30" s="2"/>
      <x:c r="B30" s="2"/>
      <x:c r="C30" s="2" t="str">
        <x:v>Monthly interest</x:v>
      </x:c>
      <x:c r="D30" s="2"/>
      <x:c r="E30" s="2"/>
      <x:c r="F30" s="2"/>
      <x:c r="G30" s="58" t="n">
        <x:f>IF(AND(ISNUMBER(G29),ISNUMBER('Assumptions'!$D$31)),G29*'Assumptions'!$D$31/12,"n.a.")</x:f>
        <x:v>51458.333333333336</x:v>
      </x:c>
      <x:c r="H30" s="58" t="n">
        <x:f>IF(AND(ISNUMBER(H29),ISNUMBER('Assumptions'!$D$31)),H29*'Assumptions'!$D$31/12,"n.a.")</x:f>
        <x:v>51458.333333333336</x:v>
      </x:c>
      <x:c r="I30" s="58" t="n">
        <x:f>IF(AND(ISNUMBER(I29),ISNUMBER('Assumptions'!$D$31)),I29*'Assumptions'!$D$31/12,"n.a.")</x:f>
        <x:v>51458.333333333336</x:v>
      </x:c>
      <x:c r="J30" s="58" t="n">
        <x:f>IF(AND(ISNUMBER(J29),ISNUMBER('Assumptions'!$D$31)),J29*'Assumptions'!$D$31/12,"n.a.")</x:f>
        <x:v>51458.333333333336</x:v>
      </x:c>
      <x:c r="K30" s="58" t="n">
        <x:f>IF(AND(ISNUMBER(K29),ISNUMBER('Assumptions'!$D$31)),K29*'Assumptions'!$D$31/12,"n.a.")</x:f>
        <x:v>51458.333333333336</x:v>
      </x:c>
      <x:c r="L30" s="58" t="n">
        <x:f>IF(AND(ISNUMBER(L29),ISNUMBER('Assumptions'!$D$31)),L29*'Assumptions'!$D$31/12,"n.a.")</x:f>
        <x:v>51458.333333333336</x:v>
      </x:c>
      <x:c r="M30" s="58" t="n">
        <x:f>IF(AND(ISNUMBER(M29),ISNUMBER('Assumptions'!$D$31)),M29*'Assumptions'!$D$31/12,"n.a.")</x:f>
        <x:v>51458.333333333336</x:v>
      </x:c>
      <x:c r="N30" s="58" t="n">
        <x:f>IF(AND(ISNUMBER(N29),ISNUMBER('Assumptions'!$D$31)),N29*'Assumptions'!$D$31/12,"n.a.")</x:f>
        <x:v>51389.615620445424</x:v>
      </x:c>
      <x:c r="O30" s="58" t="n">
        <x:f>IF(AND(ISNUMBER(O29),ISNUMBER('Assumptions'!$D$31)),O29*'Assumptions'!$D$31/12,"n.a.")</x:f>
        <x:v>51320.525686612695</x:v>
      </x:c>
      <x:c r="P30" s="58" t="n">
        <x:f>IF(AND(ISNUMBER(P29),ISNUMBER('Assumptions'!$D$31)),P29*'Assumptions'!$D$31/12,"n.a.")</x:f>
        <x:v>51251.061515638365</x:v>
      </x:c>
      <x:c r="Q30" s="58" t="n">
        <x:f>IF(AND(ISNUMBER(Q29),ISNUMBER('Assumptions'!$D$31)),Q29*'Assumptions'!$D$31/12,"n.a.")</x:f>
        <x:v>51181.22108040459</x:v>
      </x:c>
      <x:c r="R30" s="58" t="n">
        <x:f>IF(AND(ISNUMBER(R29),ISNUMBER('Assumptions'!$D$31)),R29*'Assumptions'!$D$31/12,"n.a.")</x:f>
        <x:v>51111.00234281332</x:v>
      </x:c>
    </x:row>
    <x:row r="31" ht="21" customHeight="1">
      <x:c r="A31" s="2"/>
      <x:c r="B31" s="2"/>
      <x:c r="C31" s="2" t="str">
        <x:v>Scheduled payment</x:v>
      </x:c>
      <x:c r="D31" s="2"/>
      <x:c r="E31" s="2"/>
      <x:c r="F31" s="2"/>
      <x:c r="G31" s="58" t="n">
        <x:f>IF(AND(ISNUMBER('Assumptions'!$D$37),ISNUMBER(G30),ISNUMBER(G29),ISNUMBER(D16)),IF(1&lt;='Assumptions'!$D$37,G30,MIN(G29+G30,D16)),"n.a.")</x:f>
        <x:v>51458.333333333336</x:v>
      </x:c>
      <x:c r="H31" s="58" t="n">
        <x:f>IF(AND(ISNUMBER('Assumptions'!$D$37),ISNUMBER(H30),ISNUMBER(H29),ISNUMBER(D16)),IF(2&lt;='Assumptions'!$D$37,H30,MIN(H29+H30,D16)),"n.a.")</x:f>
        <x:v>51458.333333333336</x:v>
      </x:c>
      <x:c r="I31" s="58" t="n">
        <x:f>IF(AND(ISNUMBER('Assumptions'!$D$37),ISNUMBER(I30),ISNUMBER(I29),ISNUMBER(D16)),IF(3&lt;='Assumptions'!$D$37,I30,MIN(I29+I30,D16)),"n.a.")</x:f>
        <x:v>51458.333333333336</x:v>
      </x:c>
      <x:c r="J31" s="58" t="n">
        <x:f>IF(AND(ISNUMBER('Assumptions'!$D$37),ISNUMBER(J30),ISNUMBER(J29),ISNUMBER(D16)),IF(4&lt;='Assumptions'!$D$37,J30,MIN(J29+J30,D16)),"n.a.")</x:f>
        <x:v>51458.333333333336</x:v>
      </x:c>
      <x:c r="K31" s="58" t="n">
        <x:f>IF(AND(ISNUMBER('Assumptions'!$D$37),ISNUMBER(K30),ISNUMBER(K29),ISNUMBER(D16)),IF(5&lt;='Assumptions'!$D$37,K30,MIN(K29+K30,D16)),"n.a.")</x:f>
        <x:v>51458.333333333336</x:v>
      </x:c>
      <x:c r="L31" s="58" t="n">
        <x:f>IF(AND(ISNUMBER('Assumptions'!$D$37),ISNUMBER(L30),ISNUMBER(L29),ISNUMBER(D16)),IF(6&lt;='Assumptions'!$D$37,L30,MIN(L29+L30,D16)),"n.a.")</x:f>
        <x:v>51458.333333333336</x:v>
      </x:c>
      <x:c r="M31" s="58" t="n">
        <x:f>IF(AND(ISNUMBER('Assumptions'!$D$37),ISNUMBER(M30),ISNUMBER(M29),ISNUMBER(D16)),IF(7&lt;='Assumptions'!$D$37,M30,MIN(M29+M30,D16)),"n.a.")</x:f>
        <x:v>64144.680328025956</x:v>
      </x:c>
      <x:c r="N31" s="58" t="n">
        <x:f>IF(AND(ISNUMBER('Assumptions'!$D$37),ISNUMBER(N30),ISNUMBER(N29),ISNUMBER(D16)),IF(8&lt;='Assumptions'!$D$37,N30,MIN(N29+N30,D16)),"n.a.")</x:f>
        <x:v>64144.680328025956</x:v>
      </x:c>
      <x:c r="O31" s="58" t="n">
        <x:f>IF(AND(ISNUMBER('Assumptions'!$D$37),ISNUMBER(O30),ISNUMBER(O29),ISNUMBER(D16)),IF(9&lt;='Assumptions'!$D$37,O30,MIN(O29+O30,D16)),"n.a.")</x:f>
        <x:v>64144.680328025956</x:v>
      </x:c>
      <x:c r="P31" s="58" t="n">
        <x:f>IF(AND(ISNUMBER('Assumptions'!$D$37),ISNUMBER(P30),ISNUMBER(P29),ISNUMBER(D16)),IF(10&lt;='Assumptions'!$D$37,P30,MIN(P29+P30,D16)),"n.a.")</x:f>
        <x:v>64144.680328025956</x:v>
      </x:c>
      <x:c r="Q31" s="58" t="n">
        <x:f>IF(AND(ISNUMBER('Assumptions'!$D$37),ISNUMBER(Q30),ISNUMBER(Q29),ISNUMBER(D16)),IF(11&lt;='Assumptions'!$D$37,Q30,MIN(Q29+Q30,D16)),"n.a.")</x:f>
        <x:v>64144.680328025956</x:v>
      </x:c>
      <x:c r="R31" s="58" t="n">
        <x:f>IF(AND(ISNUMBER('Assumptions'!$D$37),ISNUMBER(R30),ISNUMBER(R29),ISNUMBER(D16)),IF(12&lt;='Assumptions'!$D$37,R30,MIN(R29+R30,D16)),"n.a.")</x:f>
        <x:v>64144.680328025956</x:v>
      </x:c>
    </x:row>
    <x:row r="32" ht="21" customHeight="1">
      <x:c r="A32" s="2"/>
      <x:c r="B32" s="2"/>
      <x:c r="C32" s="2" t="str">
        <x:v>Scheduled principal</x:v>
      </x:c>
      <x:c r="D32" s="2"/>
      <x:c r="E32" s="2"/>
      <x:c r="F32" s="2"/>
      <x:c r="G32" s="57" t="n">
        <x:f>IF(AND(ISNUMBER(G31),ISNUMBER(G30)),G31-G30,"n.a.")</x:f>
        <x:v>0</x:v>
      </x:c>
      <x:c r="H32" s="57" t="n">
        <x:f>IF(AND(ISNUMBER(H31),ISNUMBER(H30)),H31-H30,"n.a.")</x:f>
        <x:v>0</x:v>
      </x:c>
      <x:c r="I32" s="57" t="n">
        <x:f>IF(AND(ISNUMBER(I31),ISNUMBER(I30)),I31-I30,"n.a.")</x:f>
        <x:v>0</x:v>
      </x:c>
      <x:c r="J32" s="57" t="n">
        <x:f>IF(AND(ISNUMBER(J31),ISNUMBER(J30)),J31-J30,"n.a.")</x:f>
        <x:v>0</x:v>
      </x:c>
      <x:c r="K32" s="57" t="n">
        <x:f>IF(AND(ISNUMBER(K31),ISNUMBER(K30)),K31-K30,"n.a.")</x:f>
        <x:v>0</x:v>
      </x:c>
      <x:c r="L32" s="57" t="n">
        <x:f>IF(AND(ISNUMBER(L31),ISNUMBER(L30)),L31-L30,"n.a.")</x:f>
        <x:v>0</x:v>
      </x:c>
      <x:c r="M32" s="57" t="n">
        <x:f>IF(AND(ISNUMBER(M31),ISNUMBER(M30)),M31-M30,"n.a.")</x:f>
        <x:v>12686.34699469262</x:v>
      </x:c>
      <x:c r="N32" s="57" t="n">
        <x:f>IF(AND(ISNUMBER(N31),ISNUMBER(N30)),N31-N30,"n.a.")</x:f>
        <x:v>12755.064707580532</x:v>
      </x:c>
      <x:c r="O32" s="57" t="n">
        <x:f>IF(AND(ISNUMBER(O31),ISNUMBER(O30)),O31-O30,"n.a.")</x:f>
        <x:v>12824.15464141326</x:v>
      </x:c>
      <x:c r="P32" s="57" t="n">
        <x:f>IF(AND(ISNUMBER(P31),ISNUMBER(P30)),P31-P30,"n.a.")</x:f>
        <x:v>12893.61881238759</x:v>
      </x:c>
      <x:c r="Q32" s="57" t="n">
        <x:f>IF(AND(ISNUMBER(Q31),ISNUMBER(Q30)),Q31-Q30,"n.a.")</x:f>
        <x:v>12963.459247621366</x:v>
      </x:c>
      <x:c r="R32" s="57" t="n">
        <x:f>IF(AND(ISNUMBER(R31),ISNUMBER(R30)),R31-R30,"n.a.")</x:f>
        <x:v>13033.677985212635</x:v>
      </x:c>
    </x:row>
    <x:row r="33" ht="21" customHeight="1">
      <x:c r="A33" s="2"/>
      <x:c r="B33" s="2"/>
      <x:c r="C33" s="2" t="str">
        <x:v>Ending loan balance</x:v>
      </x:c>
      <x:c r="D33" s="2"/>
      <x:c r="E33" s="2"/>
      <x:c r="F33" s="2"/>
      <x:c r="G33" s="57" t="n">
        <x:f>IF(AND(ISNUMBER(G29),ISNUMBER(G32),ISNUMBER(G38)),G29-G32-G38,"n.a.")</x:f>
        <x:v>9500000</x:v>
      </x:c>
      <x:c r="H33" s="57" t="n">
        <x:f>IF(AND(ISNUMBER(H29),ISNUMBER(H32),ISNUMBER(H38)),H29-H32-H38,"n.a.")</x:f>
        <x:v>9500000</x:v>
      </x:c>
      <x:c r="I33" s="57" t="n">
        <x:f>IF(AND(ISNUMBER(I29),ISNUMBER(I32),ISNUMBER(I38)),I29-I32-I38,"n.a.")</x:f>
        <x:v>9500000</x:v>
      </x:c>
      <x:c r="J33" s="57" t="n">
        <x:f>IF(AND(ISNUMBER(J29),ISNUMBER(J32),ISNUMBER(J38)),J29-J32-J38,"n.a.")</x:f>
        <x:v>9500000</x:v>
      </x:c>
      <x:c r="K33" s="57" t="n">
        <x:f>IF(AND(ISNUMBER(K29),ISNUMBER(K32),ISNUMBER(K38)),K29-K32-K38,"n.a.")</x:f>
        <x:v>9500000</x:v>
      </x:c>
      <x:c r="L33" s="57" t="n">
        <x:f>IF(AND(ISNUMBER(L29),ISNUMBER(L32),ISNUMBER(L38)),L29-L32-L38,"n.a.")</x:f>
        <x:v>9500000</x:v>
      </x:c>
      <x:c r="M33" s="57" t="n">
        <x:f>IF(AND(ISNUMBER(M29),ISNUMBER(M32),ISNUMBER(M38)),M29-M32-M38,"n.a.")</x:f>
        <x:v>9487313.653005308</x:v>
      </x:c>
      <x:c r="N33" s="57" t="n">
        <x:f>IF(AND(ISNUMBER(N29),ISNUMBER(N32),ISNUMBER(N38)),N29-N32-N38,"n.a.")</x:f>
        <x:v>9474558.588297727</x:v>
      </x:c>
      <x:c r="O33" s="57" t="n">
        <x:f>IF(AND(ISNUMBER(O29),ISNUMBER(O32),ISNUMBER(O38)),O29-O32-O38,"n.a.")</x:f>
        <x:v>9461734.433656313</x:v>
      </x:c>
      <x:c r="P33" s="57" t="n">
        <x:f>IF(AND(ISNUMBER(P29),ISNUMBER(P32),ISNUMBER(P38)),P29-P32-P38,"n.a.")</x:f>
        <x:v>9448840.814843925</x:v>
      </x:c>
      <x:c r="Q33" s="57" t="n">
        <x:f>IF(AND(ISNUMBER(Q29),ISNUMBER(Q32),ISNUMBER(Q38)),Q29-Q32-Q38,"n.a.")</x:f>
        <x:v>9435877.355596304</x:v>
      </x:c>
      <x:c r="R33" s="57" t="n">
        <x:f>IF(AND(ISNUMBER(R29),ISNUMBER(R32),ISNUMBER(R38)),R29-R32-R38,"n.a.")</x:f>
        <x:v>9422843.677611092</x:v>
      </x:c>
    </x:row>
    <x:row r="34" ht="21" customHeight="1">
      <x:c r="A34" s="2"/>
      <x:c r="B34" s="2"/>
      <x:c r="C34" s="2" t="str">
        <x:v>Operating cash NCF</x:v>
      </x:c>
      <x:c r="D34" s="2"/>
      <x:c r="E34" s="2"/>
      <x:c r="F34" s="2"/>
      <x:c r="G34" s="58" t="n">
        <x:f>IF(AND(ISNUMBER('Operations'!G22)),'Operations'!G22,"n.a.")</x:f>
        <x:v>98038.53333333333</x:v>
      </x:c>
      <x:c r="H34" s="58" t="n">
        <x:f>IF(AND(ISNUMBER('Operations'!H22)),'Operations'!H22,"n.a.")</x:f>
        <x:v>98038.53333333333</x:v>
      </x:c>
      <x:c r="I34" s="58" t="n">
        <x:f>IF(AND(ISNUMBER('Operations'!I22)),'Operations'!I22,"n.a.")</x:f>
        <x:v>98038.53333333333</x:v>
      </x:c>
      <x:c r="J34" s="58" t="n">
        <x:f>IF(AND(ISNUMBER('Operations'!J22)),'Operations'!J22,"n.a.")</x:f>
        <x:v>98038.53333333333</x:v>
      </x:c>
      <x:c r="K34" s="58" t="n">
        <x:f>IF(AND(ISNUMBER('Operations'!K22)),'Operations'!K22,"n.a.")</x:f>
        <x:v>98038.53333333333</x:v>
      </x:c>
      <x:c r="L34" s="58" t="n">
        <x:f>IF(AND(ISNUMBER('Operations'!L22)),'Operations'!L22,"n.a.")</x:f>
        <x:v>72544.99333333333</x:v>
      </x:c>
      <x:c r="M34" s="58" t="n">
        <x:f>IF(AND(ISNUMBER('Operations'!M22)),'Operations'!M22,"n.a.")</x:f>
        <x:v>72544.99333333333</x:v>
      </x:c>
      <x:c r="N34" s="58" t="n">
        <x:f>IF(AND(ISNUMBER('Operations'!N22)),'Operations'!N22,"n.a.")</x:f>
        <x:v>72544.99333333333</x:v>
      </x:c>
      <x:c r="O34" s="58" t="n">
        <x:f>IF(AND(ISNUMBER('Operations'!O22)),'Operations'!O22,"n.a.")</x:f>
        <x:v>72544.99333333333</x:v>
      </x:c>
      <x:c r="P34" s="58" t="n">
        <x:f>IF(AND(ISNUMBER('Operations'!P22)),'Operations'!P22,"n.a.")</x:f>
        <x:v>98038.53333333333</x:v>
      </x:c>
      <x:c r="Q34" s="58" t="n">
        <x:f>IF(AND(ISNUMBER('Operations'!Q22)),'Operations'!Q22,"n.a.")</x:f>
        <x:v>98038.53333333333</x:v>
      </x:c>
      <x:c r="R34" s="58" t="n">
        <x:f>IF(AND(ISNUMBER('Operations'!R22)),'Operations'!R22,"n.a.")</x:f>
        <x:v>98038.53333333333</x:v>
      </x:c>
    </x:row>
    <x:row r="35" ht="21" customHeight="1">
      <x:c r="A35" s="2"/>
      <x:c r="B35" s="2"/>
      <x:c r="C35" s="2" t="str">
        <x:v>Capital-work cash</x:v>
      </x:c>
      <x:c r="D35" s="2"/>
      <x:c r="E35" s="2"/>
      <x:c r="F35" s="2"/>
      <x:c r="G35" s="58" t="n">
        <x:f>IF(AND(ISNUMBER('Operations'!G17)),'Operations'!G17,"n.a.")</x:f>
        <x:v>6000</x:v>
      </x:c>
      <x:c r="H35" s="58" t="n">
        <x:f>IF(AND(ISNUMBER('Operations'!H17)),'Operations'!H17,"n.a.")</x:f>
        <x:v>6000</x:v>
      </x:c>
      <x:c r="I35" s="58" t="n">
        <x:f>IF(AND(ISNUMBER('Operations'!I17)),'Operations'!I17,"n.a.")</x:f>
        <x:v>6000</x:v>
      </x:c>
      <x:c r="J35" s="58" t="n">
        <x:f>IF(AND(ISNUMBER('Operations'!J17)),'Operations'!J17,"n.a.")</x:f>
        <x:v>6000</x:v>
      </x:c>
      <x:c r="K35" s="58" t="n">
        <x:f>IF(AND(ISNUMBER('Operations'!K17)),'Operations'!K17,"n.a.")</x:f>
        <x:v>6000</x:v>
      </x:c>
      <x:c r="L35" s="58" t="n">
        <x:f>IF(AND(ISNUMBER('Operations'!L17)),'Operations'!L17,"n.a.")</x:f>
        <x:v>6000</x:v>
      </x:c>
      <x:c r="M35" s="58" t="n">
        <x:f>IF(AND(ISNUMBER('Operations'!M17)),'Operations'!M17,"n.a.")</x:f>
        <x:v>6000</x:v>
      </x:c>
      <x:c r="N35" s="58" t="n">
        <x:f>IF(AND(ISNUMBER('Operations'!N17)),'Operations'!N17,"n.a.")</x:f>
        <x:v>6000</x:v>
      </x:c>
      <x:c r="O35" s="58" t="n">
        <x:f>IF(AND(ISNUMBER('Operations'!O17)),'Operations'!O17,"n.a.")</x:f>
        <x:v>380000</x:v>
      </x:c>
      <x:c r="P35" s="58" t="n">
        <x:f>IF(AND(ISNUMBER('Operations'!P17)),'Operations'!P17,"n.a.")</x:f>
        <x:v>6000</x:v>
      </x:c>
      <x:c r="Q35" s="58" t="n">
        <x:f>IF(AND(ISNUMBER('Operations'!Q17)),'Operations'!Q17,"n.a.")</x:f>
        <x:v>6000</x:v>
      </x:c>
      <x:c r="R35" s="58" t="n">
        <x:f>IF(AND(ISNUMBER('Operations'!R17)),'Operations'!R17,"n.a.")</x:f>
        <x:v>6000</x:v>
      </x:c>
    </x:row>
    <x:row r="36" ht="21" customHeight="1">
      <x:c r="A36" s="2"/>
      <x:c r="B36" s="2"/>
      <x:c r="C36" s="2" t="str">
        <x:v>Cash after debt and capital</x:v>
      </x:c>
      <x:c r="D36" s="2"/>
      <x:c r="E36" s="2"/>
      <x:c r="F36" s="2"/>
      <x:c r="G36" s="57" t="n">
        <x:f>IF(AND(ISNUMBER(G34),ISNUMBER(G31),ISNUMBER(G35),ISNUMBER(G38)),G34-G31-G35-G38,"n.a.")</x:f>
        <x:v>40580.19999999999</x:v>
      </x:c>
      <x:c r="H36" s="57" t="n">
        <x:f>IF(AND(ISNUMBER(H34),ISNUMBER(H31),ISNUMBER(H35),ISNUMBER(H38)),H34-H31-H35-H38,"n.a.")</x:f>
        <x:v>40580.19999999999</x:v>
      </x:c>
      <x:c r="I36" s="57" t="n">
        <x:f>IF(AND(ISNUMBER(I34),ISNUMBER(I31),ISNUMBER(I35),ISNUMBER(I38)),I34-I31-I35-I38,"n.a.")</x:f>
        <x:v>40580.19999999999</x:v>
      </x:c>
      <x:c r="J36" s="57" t="n">
        <x:f>IF(AND(ISNUMBER(J34),ISNUMBER(J31),ISNUMBER(J35),ISNUMBER(J38)),J34-J31-J35-J38,"n.a.")</x:f>
        <x:v>40580.19999999999</x:v>
      </x:c>
      <x:c r="K36" s="57" t="n">
        <x:f>IF(AND(ISNUMBER(K34),ISNUMBER(K31),ISNUMBER(K35),ISNUMBER(K38)),K34-K31-K35-K38,"n.a.")</x:f>
        <x:v>40580.19999999999</x:v>
      </x:c>
      <x:c r="L36" s="57" t="n">
        <x:f>IF(AND(ISNUMBER(L34),ISNUMBER(L31),ISNUMBER(L35),ISNUMBER(L38)),L34-L31-L35-L38,"n.a.")</x:f>
        <x:v>15086.659999999996</x:v>
      </x:c>
      <x:c r="M36" s="57" t="n">
        <x:f>IF(AND(ISNUMBER(M34),ISNUMBER(M31),ISNUMBER(M35),ISNUMBER(M38)),M34-M31-M35-M38,"n.a.")</x:f>
        <x:v>2400.3130053073764</x:v>
      </x:c>
      <x:c r="N36" s="57" t="n">
        <x:f>IF(AND(ISNUMBER(N34),ISNUMBER(N31),ISNUMBER(N35),ISNUMBER(N38)),N34-N31-N35-N38,"n.a.")</x:f>
        <x:v>2400.3130053073764</x:v>
      </x:c>
      <x:c r="O36" s="57" t="n">
        <x:f>IF(AND(ISNUMBER(O34),ISNUMBER(O31),ISNUMBER(O35),ISNUMBER(O38)),O34-O31-O35-O38,"n.a.")</x:f>
        <x:v>-371599.6869946926</x:v>
      </x:c>
      <x:c r="P36" s="57" t="n">
        <x:f>IF(AND(ISNUMBER(P34),ISNUMBER(P31),ISNUMBER(P35),ISNUMBER(P38)),P34-P31-P35-P38,"n.a.")</x:f>
        <x:v>27893.85300530737</x:v>
      </x:c>
      <x:c r="Q36" s="57" t="n">
        <x:f>IF(AND(ISNUMBER(Q34),ISNUMBER(Q31),ISNUMBER(Q35),ISNUMBER(Q38)),Q34-Q31-Q35-Q38,"n.a.")</x:f>
        <x:v>27893.85300530737</x:v>
      </x:c>
      <x:c r="R36" s="57" t="n">
        <x:f>IF(AND(ISNUMBER(R34),ISNUMBER(R31),ISNUMBER(R35),ISNUMBER(R38)),R34-R31-R35-R38,"n.a.")</x:f>
        <x:v>27893.85300530737</x:v>
      </x:c>
    </x:row>
    <x:row r="37" ht="21" customHeight="1">
      <x:c r="A37" s="2"/>
      <x:c r="B37" s="2"/>
      <x:c r="C37" s="2" t="str">
        <x:v>Ending operating cash</x:v>
      </x:c>
      <x:c r="D37" s="2"/>
      <x:c r="E37" s="2"/>
      <x:c r="F37" s="2"/>
      <x:c r="G37" s="58" t="n">
        <x:f>IF(AND(ISNUMBER('Assumptions'!$D$22),ISNUMBER(G36)),'Assumptions'!$D$22+G36,"n.a.")</x:f>
        <x:v>490580.2</x:v>
      </x:c>
      <x:c r="H37" s="57" t="n">
        <x:f>IF(AND(ISNUMBER(G37),ISNUMBER(H36)),G37+H36,"n.a.")</x:f>
        <x:v>531160.4</x:v>
      </x:c>
      <x:c r="I37" s="57" t="n">
        <x:f>IF(AND(ISNUMBER(H37),ISNUMBER(I36)),H37+I36,"n.a.")</x:f>
        <x:v>571740.6</x:v>
      </x:c>
      <x:c r="J37" s="57" t="n">
        <x:f>IF(AND(ISNUMBER(I37),ISNUMBER(J36)),I37+J36,"n.a.")</x:f>
        <x:v>612320.7999999999</x:v>
      </x:c>
      <x:c r="K37" s="57" t="n">
        <x:f>IF(AND(ISNUMBER(J37),ISNUMBER(K36)),J37+K36,"n.a.")</x:f>
        <x:v>652900.9999999999</x:v>
      </x:c>
      <x:c r="L37" s="57" t="n">
        <x:f>IF(AND(ISNUMBER(K37),ISNUMBER(L36)),K37+L36,"n.a.")</x:f>
        <x:v>667987.6599999999</x:v>
      </x:c>
      <x:c r="M37" s="57" t="n">
        <x:f>IF(AND(ISNUMBER(L37),ISNUMBER(M36)),L37+M36,"n.a.")</x:f>
        <x:v>670387.9730053073</x:v>
      </x:c>
      <x:c r="N37" s="57" t="n">
        <x:f>IF(AND(ISNUMBER(M37),ISNUMBER(N36)),M37+N36,"n.a.")</x:f>
        <x:v>672788.2860106146</x:v>
      </x:c>
      <x:c r="O37" s="57" t="n">
        <x:f>IF(AND(ISNUMBER(N37),ISNUMBER(O36)),N37+O36,"n.a.")</x:f>
        <x:v>301188.599015922</x:v>
      </x:c>
      <x:c r="P37" s="57" t="n">
        <x:f>IF(AND(ISNUMBER(O37),ISNUMBER(P36)),O37+P36,"n.a.")</x:f>
        <x:v>329082.4520212294</x:v>
      </x:c>
      <x:c r="Q37" s="57" t="n">
        <x:f>IF(AND(ISNUMBER(P37),ISNUMBER(Q36)),P37+Q36,"n.a.")</x:f>
        <x:v>356976.30502653675</x:v>
      </x:c>
      <x:c r="R37" s="57" t="n">
        <x:f>IF(AND(ISNUMBER(Q37),ISNUMBER(R36)),Q37+R36,"n.a.")</x:f>
        <x:v>384870.1580318441</x:v>
      </x:c>
    </x:row>
    <x:row r="38" ht="21" customHeight="1">
      <x:c r="A38" s="2"/>
      <x:c r="B38" s="2"/>
      <x:c r="C38" s="2" t="str">
        <x:v>Maturity principal cash repayment</x:v>
      </x:c>
      <x:c r="D38" s="2"/>
      <x:c r="E38" s="2"/>
      <x:c r="F38" s="2"/>
      <x:c r="G38" s="58" t="n">
        <x:f>IF(AND(ISNUMBER('Assumptions'!$D$40),ISNUMBER(G29),ISNUMBER(G32)),IF(1='Assumptions'!$D$40,G29-G32,0),"n.a.")</x:f>
        <x:v>0</x:v>
      </x:c>
      <x:c r="H38" s="58" t="n">
        <x:f>IF(AND(ISNUMBER('Assumptions'!$D$40),ISNUMBER(H29),ISNUMBER(H32)),IF(2='Assumptions'!$D$40,H29-H32,0),"n.a.")</x:f>
        <x:v>0</x:v>
      </x:c>
      <x:c r="I38" s="58" t="n">
        <x:f>IF(AND(ISNUMBER('Assumptions'!$D$40),ISNUMBER(I29),ISNUMBER(I32)),IF(3='Assumptions'!$D$40,I29-I32,0),"n.a.")</x:f>
        <x:v>0</x:v>
      </x:c>
      <x:c r="J38" s="58" t="n">
        <x:f>IF(AND(ISNUMBER('Assumptions'!$D$40),ISNUMBER(J29),ISNUMBER(J32)),IF(4='Assumptions'!$D$40,J29-J32,0),"n.a.")</x:f>
        <x:v>0</x:v>
      </x:c>
      <x:c r="K38" s="58" t="n">
        <x:f>IF(AND(ISNUMBER('Assumptions'!$D$40),ISNUMBER(K29),ISNUMBER(K32)),IF(5='Assumptions'!$D$40,K29-K32,0),"n.a.")</x:f>
        <x:v>0</x:v>
      </x:c>
      <x:c r="L38" s="58" t="n">
        <x:f>IF(AND(ISNUMBER('Assumptions'!$D$40),ISNUMBER(L29),ISNUMBER(L32)),IF(6='Assumptions'!$D$40,L29-L32,0),"n.a.")</x:f>
        <x:v>0</x:v>
      </x:c>
      <x:c r="M38" s="58" t="n">
        <x:f>IF(AND(ISNUMBER('Assumptions'!$D$40),ISNUMBER(M29),ISNUMBER(M32)),IF(7='Assumptions'!$D$40,M29-M32,0),"n.a.")</x:f>
        <x:v>0</x:v>
      </x:c>
      <x:c r="N38" s="58" t="n">
        <x:f>IF(AND(ISNUMBER('Assumptions'!$D$40),ISNUMBER(N29),ISNUMBER(N32)),IF(8='Assumptions'!$D$40,N29-N32,0),"n.a.")</x:f>
        <x:v>0</x:v>
      </x:c>
      <x:c r="O38" s="58" t="n">
        <x:f>IF(AND(ISNUMBER('Assumptions'!$D$40),ISNUMBER(O29),ISNUMBER(O32)),IF(9='Assumptions'!$D$40,O29-O32,0),"n.a.")</x:f>
        <x:v>0</x:v>
      </x:c>
      <x:c r="P38" s="58" t="n">
        <x:f>IF(AND(ISNUMBER('Assumptions'!$D$40),ISNUMBER(P29),ISNUMBER(P32)),IF(10='Assumptions'!$D$40,P29-P32,0),"n.a.")</x:f>
        <x:v>0</x:v>
      </x:c>
      <x:c r="Q38" s="58" t="n">
        <x:f>IF(AND(ISNUMBER('Assumptions'!$D$40),ISNUMBER(Q29),ISNUMBER(Q32)),IF(11='Assumptions'!$D$40,Q29-Q32,0),"n.a.")</x:f>
        <x:v>0</x:v>
      </x:c>
      <x:c r="R38" s="58"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49" t="n">
        <x:f>IF(AND(ISNUMBER(G31),ISNUMBER(R31)),IF(COUNT(G31:R31)=12,SUM(G31:R31),"n.a."),"n.a.")</x:f>
        <x:v>693618.0819681557</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59" t="n">
        <x:f>IF(AND(ISNUMBER(D43),ISNUMBER(D9)),IF(D43=0,"n.a.",D9/D43),"n.a.")</x:f>
        <x:v>1.5491064433486468</x:v>
      </x:c>
      <x:c r="E44" s="2"/>
      <x:c r="F44" s="2"/>
      <x:c r="G44" s="2"/>
      <x:c r="H44" s="2"/>
      <x:c r="I44" s="2"/>
      <x:c r="J44" s="2"/>
      <x:c r="K44" s="2"/>
      <x:c r="L44" s="2"/>
      <x:c r="M44" s="2"/>
      <x:c r="N44" s="2"/>
      <x:c r="O44" s="2"/>
      <x:c r="P44" s="2"/>
      <x:c r="Q44" s="2"/>
      <x:c r="R44" s="2"/>
    </x:row>
    <x:row r="45" ht="21" customHeight="1">
      <x:c r="A45" s="2"/>
      <x:c r="B45" s="2"/>
      <x:c r="C45" s="2" t="str">
        <x:v>Year-end scheduled principal</x:v>
      </x:c>
      <x:c r="D45" s="49" t="n">
        <x:f>IF(AND(ISNUMBER(R33)),R33,"n.a.")</x:f>
        <x:v>9422843.677611092</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49"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49" t="n">
        <x:f>IF(AND(ISNUMBER(D19),ISNUMBER(D46)),D19-D46,"n.a.")</x:f>
        <x:v>1500000</x:v>
      </x:c>
      <x:c r="E47" s="2"/>
      <x:c r="F47" s="2"/>
      <x:c r="G47" s="2"/>
      <x:c r="H47" s="2"/>
      <x:c r="I47" s="2"/>
      <x:c r="J47" s="2"/>
      <x:c r="K47" s="2"/>
      <x:c r="L47" s="2"/>
      <x:c r="M47" s="2"/>
      <x:c r="N47" s="2"/>
      <x:c r="O47" s="2"/>
      <x:c r="P47" s="2"/>
      <x:c r="Q47" s="2"/>
      <x:c r="R47" s="2"/>
    </x:row>
    <x:row r="48" ht="21" customHeight="1">
      <x:c r="A48" s="2"/>
      <x:c r="B48" s="2"/>
      <x:c r="C48" s="2" t="str">
        <x:v>Year-end operating cash</x:v>
      </x:c>
      <x:c r="D48" s="49" t="n">
        <x:f>IF(AND(ISNUMBER(R37)),R37,"n.a.")</x:f>
        <x:v>384870.1580318441</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68" t="n">
        <x:f>21-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x:f>
        <x:v>0</x:v>
      </x:c>
      <x:c r="E10" s="2"/>
      <x:c r="F10" s="2"/>
      <x:c r="G10" s="2"/>
      <x:c r="H10" s="2"/>
      <x:c r="I10" s="2"/>
      <x:c r="J10" s="2"/>
    </x:row>
    <x:row r="11" ht="21" customHeight="1">
      <x:c r="A11" s="2"/>
      <x:c r="B11" s="2"/>
      <x:c r="C11" s="2" t="str">
        <x:v>Source rows needing correction</x:v>
      </x:c>
      <x:c r="D11" s="68" t="n">
        <x:f>COUNTIFS('Anchor and Shop Cash'!N10:N21,"Missing / invalid input")</x:f>
        <x:v>0</x:v>
      </x:c>
      <x:c r="E11" s="2"/>
      <x:c r="F11" s="2"/>
      <x:c r="G11" s="2"/>
      <x:c r="H11" s="2"/>
      <x:c r="I11" s="2"/>
      <x:c r="J11" s="2"/>
    </x:row>
    <x:row r="12" ht="21" customHeight="1">
      <x:c r="A12" s="2"/>
      <x:c r="B12" s="2"/>
      <x:c r="C12" s="2" t="str">
        <x:v>NOI cash-cost reconciliation</x:v>
      </x:c>
      <x:c r="D12" s="68" t="n">
        <x:f>IF(AND(ISNUMBER('Operations'!E20),ISNUMBER('Operations'!E15),ISNUMBER('Operations'!E19)),'Operations'!E20-'Operations'!E15+'Operations'!E19,"n.a.")</x:f>
        <x:v>2.3283064365386963e-10</x:v>
      </x:c>
      <x:c r="E12" s="2"/>
      <x:c r="F12" s="2"/>
      <x:c r="G12" s="2"/>
      <x:c r="H12" s="2"/>
      <x:c r="I12" s="2"/>
      <x:c r="J12" s="2"/>
    </x:row>
    <x:row r="13" ht="21" customHeight="1">
      <x:c r="A13" s="2"/>
      <x:c r="B13" s="2"/>
      <x:c r="C13" s="2" t="str">
        <x:v>NCF reserve reconciliation</x:v>
      </x:c>
      <x:c r="D13" s="68" t="n">
        <x:f>IF(AND(ISNUMBER('Operations'!E22),ISNUMBER('Operations'!E20),ISNUMBER('Operations'!E21)),'Operations'!E22-'Operations'!E20+'Operations'!E21,"n.a.")</x:f>
        <x:v>-4.656612873077393e-10</x:v>
      </x:c>
      <x:c r="E13" s="2"/>
      <x:c r="F13" s="2"/>
      <x:c r="G13" s="2"/>
      <x:c r="H13" s="2"/>
      <x:c r="I13" s="2"/>
      <x:c r="J13" s="2"/>
    </x:row>
    <x:row r="14" ht="21" customHeight="1">
      <x:c r="A14" s="2"/>
      <x:c r="B14" s="2"/>
      <x:c r="C14" s="2" t="str">
        <x:v>Debt principal conservation</x:v>
      </x:c>
      <x:c r="D14" s="68"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68"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68"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Anchor operation and anchor rent are separate inputs. A dark anchor can remain</x:v>
      </x:c>
      <x:c r="D23" s="2"/>
      <x:c r="E23" s="2"/>
      <x:c r="F23" s="2"/>
      <x:c r="G23" s="2"/>
      <x:c r="H23" s="2"/>
      <x:c r="I23" s="2"/>
      <x:c r="J23" s="2"/>
    </x:row>
    <x:row r="24" ht="21" customHeight="1">
      <x:c r="A24" s="2"/>
      <x:c r="B24" s="2"/>
      <x:c r="C24" s="2" t="str">
        <x:v>rent-paying. A zero operating fraction does not automatically eliminate its rent.</x:v>
      </x:c>
      <x:c r="D24" s="2"/>
      <x:c r="E24" s="2"/>
      <x:c r="F24" s="2"/>
      <x:c r="G24" s="2"/>
      <x:c r="H24" s="2"/>
      <x:c r="I24" s="2"/>
      <x:c r="J24" s="2"/>
    </x:row>
    <x:row r="25" ht="21" customHeight="1">
      <x:c r="A25" s="2"/>
      <x:c r="B25" s="2"/>
      <x:c r="C25" s="2"/>
      <x:c r="D25" s="2"/>
      <x:c r="E25" s="2"/>
      <x:c r="F25" s="2"/>
      <x:c r="G25" s="2"/>
      <x:c r="H25" s="2"/>
      <x:c r="I25" s="2"/>
      <x:c r="J25" s="2"/>
    </x:row>
    <x:row r="26" ht="21" customHeight="1">
      <x:c r="A26" s="2"/>
      <x:c r="B26" s="2"/>
      <x:c r="C26" s="2" t="str">
        <x:v>Co-tenancy relief is a user-entered scenario: affected share times reduction times dark</x:v>
      </x:c>
      <x:c r="D26" s="2"/>
      <x:c r="E26" s="2"/>
      <x:c r="F26" s="2"/>
      <x:c r="G26" s="2"/>
      <x:c r="H26" s="2"/>
      <x:c r="I26" s="2"/>
      <x:c r="J26" s="2"/>
    </x:row>
    <x:row r="27" ht="21" customHeight="1">
      <x:c r="A27" s="2"/>
      <x:c r="B27" s="2"/>
      <x:c r="C27" s="2" t="str">
        <x:v>fraction of the month. The model does not interpret triggers, cure periods,</x:v>
      </x:c>
      <x:c r="D27" s="2"/>
      <x:c r="E27" s="2"/>
      <x:c r="F27" s="2"/>
      <x:c r="G27" s="2"/>
      <x:c r="H27" s="2"/>
      <x:c r="I27" s="2"/>
      <x:c r="J27" s="2"/>
    </x:row>
    <x:row r="28" ht="21" customHeight="1">
      <x:c r="A28" s="2"/>
      <x:c r="B28" s="2"/>
      <x:c r="C28" s="2" t="str">
        <x:v>alternate-rent provisions, termination rights or enforceability.</x:v>
      </x:c>
      <x:c r="D28" s="2"/>
      <x:c r="E28" s="2"/>
      <x:c r="F28" s="2"/>
      <x:c r="G28" s="2"/>
      <x:c r="H28" s="2"/>
      <x:c r="I28" s="2"/>
      <x:c r="J28" s="2"/>
    </x:row>
    <x:row r="29" ht="21" customHeight="1">
      <x:c r="A29" s="2"/>
      <x:c r="B29" s="2"/>
      <x:c r="C29" s="2"/>
      <x:c r="D29" s="2"/>
      <x:c r="E29" s="2"/>
      <x:c r="F29" s="2"/>
      <x:c r="G29" s="2"/>
      <x:c r="H29" s="2"/>
      <x:c r="I29" s="2"/>
      <x:c r="J29" s="2"/>
    </x:row>
    <x:row r="30" ht="21" customHeight="1">
      <x:c r="A30" s="2"/>
      <x:c r="B30" s="2"/>
      <x:c r="C30" s="2" t="str">
        <x:v>Shop collection losses apply after the entered relief. Do not embed the same relief in</x:v>
      </x:c>
      <x:c r="D30" s="2"/>
      <x:c r="E30" s="2"/>
      <x:c r="F30" s="2"/>
      <x:c r="G30" s="2"/>
      <x:c r="H30" s="2"/>
      <x:c r="I30" s="2"/>
      <x:c r="J30" s="2"/>
    </x:row>
    <x:row r="31" ht="21" customHeight="1">
      <x:c r="A31" s="2"/>
      <x:c r="B31" s="2"/>
      <x:c r="C31" s="2" t="str">
        <x:v>normal shop rent or collection fraction. Recovery relief is a separate aggregate cash</x:v>
      </x:c>
      <x:c r="D31" s="2"/>
      <x:c r="E31" s="2"/>
      <x:c r="F31" s="2"/>
      <x:c r="G31" s="2"/>
      <x:c r="H31" s="2"/>
      <x:c r="I31" s="2"/>
      <x:c r="J31" s="2"/>
    </x:row>
    <x:row r="32" ht="21" customHeight="1">
      <x:c r="A32" s="2"/>
      <x:c r="B32" s="2"/>
      <x:c r="C32" s="2" t="str">
        <x:v>assumption; operating costs remain gross.</x:v>
      </x:c>
      <x:c r="D32" s="2"/>
      <x:c r="E32" s="2"/>
      <x:c r="F32" s="2"/>
      <x:c r="G32" s="2"/>
      <x:c r="H32" s="2"/>
      <x:c r="I32" s="2"/>
      <x:c r="J32" s="2"/>
    </x:row>
    <x:row r="33" ht="21" customHeight="1">
      <x:c r="A33" s="2"/>
      <x:c r="B33" s="2"/>
      <x:c r="C33" s="2"/>
      <x:c r="D33" s="2"/>
      <x:c r="E33" s="2"/>
      <x:c r="F33" s="2"/>
      <x:c r="G33" s="2"/>
      <x:c r="H33" s="2"/>
      <x:c r="I33" s="2"/>
      <x:c r="J33" s="2"/>
    </x:row>
    <x:row r="34" ht="21" customHeight="1">
      <x:c r="A34" s="2"/>
      <x:c r="B34" s="2"/>
      <x:c r="C34" s="2" t="str">
        <x:v>Volume sensitivity changes normal shop rent, capped at full modeled occupancy, while</x:v>
      </x:c>
      <x:c r="D34" s="2"/>
      <x:c r="E34" s="2"/>
      <x:c r="F34" s="2"/>
      <x:c r="G34" s="2"/>
      <x:c r="H34" s="2"/>
      <x:c r="I34" s="2"/>
      <x:c r="J34" s="2"/>
    </x:row>
    <x:row r="35" ht="21" customHeight="1">
      <x:c r="A35" s="2"/>
      <x:c r="B35" s="2"/>
      <x:c r="C35" s="2" t="str">
        <x:v>anchor cash follows its own input. Capital is below NCF. Fixed costs must exclude the</x:v>
      </x:c>
      <x:c r="D35" s="2"/>
      <x:c r="E35" s="2"/>
      <x:c r="F35" s="2"/>
      <x:c r="G35" s="2"/>
      <x:c r="H35" s="2"/>
      <x:c r="I35" s="2"/>
      <x:c r="J35" s="2"/>
    </x:row>
    <x:row r="36" ht="21" customHeight="1">
      <x:c r="A36" s="2"/>
      <x:c r="B36" s="2"/>
      <x:c r="C36" s="2" t="str">
        <x:v>center operating expenses entered here.</x:v>
      </x:c>
      <x:c r="D36" s="2"/>
      <x:c r="E36" s="2"/>
      <x:c r="F36" s="2"/>
      <x:c r="G36" s="2"/>
      <x:c r="H36" s="2"/>
      <x:c r="I36" s="2"/>
      <x:c r="J36" s="2"/>
    </x:row>
    <x:row r="37" ht="21" customHeight="1">
      <x:c r="A37" s="2"/>
      <x:c r="B37" s="2"/>
      <x:c r="C37" s="2"/>
      <x:c r="D37" s="2"/>
      <x:c r="E37" s="2"/>
      <x:c r="F37" s="2"/>
      <x:c r="G37" s="2"/>
      <x:c r="H37" s="2"/>
      <x:c r="I37" s="2"/>
      <x:c r="J37" s="2"/>
    </x:row>
    <x:row r="38" ht="21" customHeight="1">
      <x:c r="A38" s="2"/>
      <x:c r="B38" s="2"/>
      <x:c r="C38" s="2" t="str">
        <x:v>Published by Jaken Finance Group. 833-264-7776 | info@jakenfinancegroup.com.</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Every numerical assumption is illustrative. No current market quote, legal conclusion or</x:v>
      </x:c>
      <x:c r="D40" s="2"/>
      <x:c r="E40" s="2"/>
      <x:c r="F40" s="2"/>
      <x:c r="G40" s="2"/>
      <x:c r="H40" s="2"/>
      <x:c r="I40" s="2"/>
      <x:c r="J40" s="2"/>
    </x:row>
    <x:row r="41" ht="21" customHeight="1">
      <x:c r="A41" s="2"/>
      <x:c r="B41" s="2"/>
      <x:c r="C41" s="2" t="str">
        <x:v>lender eligibility is represented.</x:v>
      </x:c>
      <x:c r="D41" s="2"/>
      <x:c r="E41" s="2"/>
      <x:c r="F41" s="2"/>
      <x:c r="G41" s="2"/>
      <x:c r="H41" s="2"/>
      <x:c r="I41" s="2"/>
      <x:c r="J41" s="2"/>
    </x:row>
    <x:row r="42" ht="21" customHeight="1">
      <x:c r="A42" s="2"/>
      <x:c r="B42" s="2"/>
      <x:c r="C42" s="2"/>
      <x:c r="D42" s="2"/>
      <x:c r="E42" s="2"/>
      <x:c r="F42" s="2"/>
      <x:c r="G42" s="2"/>
      <x:c r="H42" s="2"/>
      <x:c r="I42" s="2"/>
      <x:c r="J42" s="2"/>
    </x:row>
    <x:row r="43" ht="21" customHeight="1">
      <x:c r="A43" s="2"/>
      <x:c r="B43" s="2"/>
      <x:c r="C43" s="2" t="str">
        <x:v>NCF is a modeled cash measure after cash reserve deposits. An actual lender may adjust</x:v>
      </x:c>
      <x:c r="D43" s="2"/>
      <x:c r="E43" s="2"/>
      <x:c r="F43" s="2"/>
      <x:c r="G43" s="2"/>
      <x:c r="H43" s="2"/>
      <x:c r="I43" s="2"/>
      <x:c r="J43" s="2"/>
    </x:row>
    <x:row r="44" ht="21" customHeight="1">
      <x:c r="A44" s="2"/>
      <x:c r="B44" s="2"/>
      <x:c r="C44" s="2" t="str">
        <x:v>income, expenses, reserves, tax and business cash differently.</x:v>
      </x:c>
      <x:c r="D44" s="2"/>
      <x:c r="E44" s="2"/>
      <x:c r="F44" s="2"/>
      <x:c r="G44" s="2"/>
      <x:c r="H44" s="2"/>
      <x:c r="I44" s="2"/>
      <x:c r="J44" s="2"/>
    </x:row>
    <x:row r="45" ht="21" customHeight="1">
      <x:c r="A45" s="2"/>
      <x:c r="B45" s="2"/>
      <x:c r="C45" s="2"/>
      <x:c r="D45" s="2"/>
      <x:c r="E45" s="2"/>
      <x:c r="F45" s="2"/>
      <x:c r="G45" s="2"/>
      <x:c r="H45" s="2"/>
      <x:c r="I45" s="2"/>
      <x:c r="J45" s="2"/>
    </x:row>
    <x:row r="46" ht="21" customHeight="1">
      <x:c r="A46" s="2"/>
      <x:c r="B46" s="2"/>
      <x:c r="C46" s="2" t="str">
        <x:v>No tax return, appraisal, legal compliance, guaranty capacity or refinancing approval is</x:v>
      </x:c>
      <x:c r="D46" s="2"/>
      <x:c r="E46" s="2"/>
      <x:c r="F46" s="2"/>
      <x:c r="G46" s="2"/>
      <x:c r="H46" s="2"/>
      <x:c r="I46" s="2"/>
      <x:c r="J46" s="2"/>
    </x:row>
    <x:row r="47" ht="21" customHeight="1">
      <x:c r="A47" s="2"/>
      <x:c r="B47" s="2"/>
      <x:c r="C47" s="2" t="str">
        <x:v>established by the calculations.</x:v>
      </x:c>
      <x:c r="D47" s="2"/>
      <x:c r="E47" s="2"/>
      <x:c r="F47" s="2"/>
      <x:c r="G47" s="2"/>
      <x:c r="H47" s="2"/>
      <x:c r="I47" s="2"/>
      <x:c r="J47" s="2"/>
    </x:row>
    <x:row r="48" ht="21" customHeight="1">
      <x:c r="A48" s="2"/>
      <x:c r="B48" s="2"/>
      <x:c r="C48" s="2"/>
      <x:c r="D48" s="2"/>
      <x:c r="E48" s="2"/>
      <x:c r="F48" s="2"/>
      <x:c r="G48" s="2"/>
      <x:c r="H48" s="2"/>
      <x:c r="I48" s="2"/>
      <x:c r="J48" s="2"/>
    </x:row>
    <x:row r="49" ht="21" customHeight="1">
      <x:c r="A49" s="2"/>
      <x:c r="B49" s="2"/>
      <x:c r="C49" s="2" t="str">
        <x:v>Calculation methods and conventions are shown here. Check Review and replace</x:v>
      </x:c>
      <x:c r="D49" s="2"/>
      <x:c r="E49" s="2"/>
      <x:c r="F49" s="2"/>
      <x:c r="G49" s="2"/>
      <x:c r="H49" s="2"/>
      <x:c r="I49" s="2"/>
      <x:c r="J49" s="2"/>
    </x:row>
    <x:row r="50" ht="21" customHeight="1">
      <x:c r="A50" s="2"/>
      <x:c r="B50" s="2"/>
      <x:c r="C50" s="2" t="str">
        <x:v>illustrative inputs before relying on results.</x:v>
      </x:c>
      <x:c r="D50" s="2"/>
      <x:c r="E50" s="2"/>
      <x:c r="F50" s="2"/>
      <x:c r="G50" s="2"/>
      <x:c r="H50" s="2"/>
      <x:c r="I50" s="2"/>
      <x:c r="J50" s="2"/>
    </x:row>
    <x:row r="51" ht="21" customHeight="1">
      <x:c r="A51" s="2"/>
      <x:c r="B51" s="2"/>
      <x:c r="C51" s="2"/>
      <x:c r="D51" s="2"/>
      <x:c r="E51" s="2"/>
      <x:c r="F51" s="2"/>
      <x:c r="G51" s="2"/>
      <x:c r="H51" s="2"/>
      <x:c r="I51" s="2"/>
      <x:c r="J51" s="2"/>
    </x:row>
    <x:row r="52" ht="21" customHeight="1">
      <x:c r="A52" s="2"/>
      <x:c r="B52" s="2"/>
      <x:c r="C52" s="2"/>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x:c r="D60" s="2"/>
      <x:c r="E60" s="2"/>
      <x:c r="F60" s="2"/>
      <x:c r="G60" s="2"/>
      <x:c r="H60" s="2"/>
      <x:c r="I60" s="2"/>
      <x:c r="J60" s="2"/>
    </x:row>
  </x:sheetData>
  <x:conditionalFormatting sqref="D10:D16">
    <x:cfRule type="expression" dxfId="5" priority="1">
      <x:formula>ABS(D10)&gt;0.01</x:formula>
    </x:cfRule>
  </x:conditionalFormatting>
  <x:pageMargins left="0.7" right="0.7" top="0.75" bottom="0.75" header="0.3" footer="0.3"/>
</x:worksheet>
</file>