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c11741d3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2df0ba2fdb5429d"/>
    <x:sheet xmlns:r="http://schemas.openxmlformats.org/officeDocument/2006/relationships" name="Assumptions" sheetId="2" r:id="R052e0e0a7f9e4cae"/>
    <x:sheet xmlns:r="http://schemas.openxmlformats.org/officeDocument/2006/relationships" name="Usable Acres and Site Cash" sheetId="3" r:id="Rcbab406434634689"/>
    <x:sheet xmlns:r="http://schemas.openxmlformats.org/officeDocument/2006/relationships" name="Operations" sheetId="4" r:id="Rcaf0a1ed13434b83"/>
    <x:sheet xmlns:r="http://schemas.openxmlformats.org/officeDocument/2006/relationships" name="Debt and Funding" sheetId="5" r:id="Rc571826a4d1b44eb"/>
    <x:sheet xmlns:r="http://schemas.openxmlformats.org/officeDocument/2006/relationships" name="Review" sheetId="6" r:id="R6badb6340a7649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.00##;($#,##0.00##);&quot;—&quot;"/>
    <x:numFmt numFmtId="203" formatCode="  @"/>
    <x:numFmt numFmtId="204" formatCode="0.0%;(0.0%);&quot;—&quot;"/>
    <x:numFmt numFmtId="205" formatCode="0.00&quot;x&quot;"/>
    <x:numFmt numFmtId="206" formatCode="mmm-yy"/>
    <x:numFmt numFmtId="207" formatCode="$#,##0;($#,##0);&quot;—&quot;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0" fillId="4" borderId="0" xfId="0" applyNumberFormat="1" applyFont="1" applyFill="1" applyBorder="1" applyAlignment="1">
      <x:alignment vertical="center"/>
    </x:xf>
    <x:xf numFmtId="204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4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204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6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6" fontId="4" fillId="3" borderId="0" xfId="0" applyNumberFormat="1" applyFont="1" applyFill="1" applyBorder="1" applyAlignment="1">
      <x:alignment horizontal="center" vertical="center" wrapText="1"/>
    </x:xf>
    <x:xf numFmtId="206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7" fontId="10" fillId="4" borderId="0" xfId="0" applyNumberFormat="1" applyFont="1" applyFill="1" applyBorder="1" applyAlignment="1">
      <x:alignment vertical="center"/>
    </x:xf>
    <x:xf numFmtId="207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7" fontId="10" fillId="4" borderId="1" xfId="0" applyNumberFormat="1" applyFont="1" applyFill="1" applyBorder="1" applyAlignment="1">
      <x:alignment vertical="center"/>
    </x:xf>
    <x:xf numFmtId="207" fontId="4" fillId="4" borderId="1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horizontal="right" vertical="center"/>
    </x:xf>
    <x:xf numFmtId="207" fontId="3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9" fillId="4" borderId="0" xfId="0" applyNumberFormat="1" applyFont="1" applyFill="1" applyBorder="1" applyAlignment="1">
      <x:alignment vertical="center"/>
    </x:xf>
    <x:xf numFmtId="207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e82a9fc354d7f" /><Relationship Type="http://schemas.openxmlformats.org/officeDocument/2006/relationships/theme" Target="/xl/theme/theme1.xml" Id="R81977b66a63b49cf" /><Relationship Type="http://schemas.openxmlformats.org/officeDocument/2006/relationships/sharedStrings" Target="/xl/sharedStrings.xml" Id="Rdbd6927234014048" /><Relationship Type="http://schemas.openxmlformats.org/officeDocument/2006/relationships/worksheet" Target="/xl/worksheets/sheet1.xml" Id="Ra2df0ba2fdb5429d" /><Relationship Type="http://schemas.openxmlformats.org/officeDocument/2006/relationships/worksheet" Target="/xl/worksheets/sheet2.xml" Id="R052e0e0a7f9e4cae" /><Relationship Type="http://schemas.openxmlformats.org/officeDocument/2006/relationships/worksheet" Target="/xl/worksheets/sheet3.xml" Id="Rcbab406434634689" /><Relationship Type="http://schemas.openxmlformats.org/officeDocument/2006/relationships/worksheet" Target="/xl/worksheets/sheet4.xml" Id="Rcaf0a1ed13434b83" /><Relationship Type="http://schemas.openxmlformats.org/officeDocument/2006/relationships/worksheet" Target="/xl/worksheets/sheet5.xml" Id="Rc571826a4d1b44eb" /><Relationship Type="http://schemas.openxmlformats.org/officeDocument/2006/relationships/worksheet" Target="/xl/worksheets/sheet6.xml" Id="R6badb6340a7649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Industrial outdoor storage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'Operations'!E14</x:f>
        <x:v>656640</x:v>
      </x:c>
      <x:c r="E10" s="2"/>
      <x:c r="F10" s="2"/>
      <x:c r="G10" s="71" t="n">
        <x:f>'Operations'!G9</x:f>
        <x:v>46388</x:v>
      </x:c>
      <x:c r="H10" s="72" t="n">
        <x:f>'Debt and Funding'!G36</x:f>
        <x:v>13561.73333333333</x:v>
      </x:c>
      <x:c r="I10" s="72" t="n">
        <x:f>'Debt and Funding'!G37</x:f>
        <x:v>163561.73333333334</x:v>
      </x:c>
      <x:c r="J10" s="72" t="n">
        <x:f>'Debt and Funding'!G33</x:f>
        <x:v>3600000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'Operations'!E18</x:f>
        <x:v>192200</x:v>
      </x:c>
      <x:c r="E11" s="2"/>
      <x:c r="F11" s="2"/>
      <x:c r="G11" s="71" t="n">
        <x:f>'Operations'!H9</x:f>
        <x:v>46419</x:v>
      </x:c>
      <x:c r="H11" s="72" t="n">
        <x:f>'Debt and Funding'!H36</x:f>
        <x:v>13561.73333333333</x:v>
      </x:c>
      <x:c r="I11" s="72" t="n">
        <x:f>'Debt and Funding'!H37</x:f>
        <x:v>177123.46666666667</x:v>
      </x:c>
      <x:c r="J11" s="72" t="n">
        <x:f>'Debt and Funding'!H33</x:f>
        <x:v>3600000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'Operations'!E19</x:f>
        <x:v>464439.9999999998</x:v>
      </x:c>
      <x:c r="E12" s="2"/>
      <x:c r="F12" s="2"/>
      <x:c r="G12" s="71" t="n">
        <x:f>'Operations'!I9</x:f>
        <x:v>46447</x:v>
      </x:c>
      <x:c r="H12" s="72" t="n">
        <x:f>'Debt and Funding'!I36</x:f>
        <x:v>13561.73333333333</x:v>
      </x:c>
      <x:c r="I12" s="72" t="n">
        <x:f>'Debt and Funding'!I37</x:f>
        <x:v>190685.2</x:v>
      </x:c>
      <x:c r="J12" s="72" t="n">
        <x:f>'Debt and Funding'!I33</x:f>
        <x:v>3600000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'Operations'!E20</x:f>
        <x:v>19699.199999999997</x:v>
      </x:c>
      <x:c r="E13" s="2"/>
      <x:c r="F13" s="2"/>
      <x:c r="G13" s="71" t="n">
        <x:f>'Operations'!J9</x:f>
        <x:v>46478</x:v>
      </x:c>
      <x:c r="H13" s="72" t="n">
        <x:f>'Debt and Funding'!J36</x:f>
        <x:v>-142438.26666666666</x:v>
      </x:c>
      <x:c r="I13" s="72" t="n">
        <x:f>'Debt and Funding'!J37</x:f>
        <x:v>48246.93333333335</x:v>
      </x:c>
      <x:c r="J13" s="72" t="n">
        <x:f>'Debt and Funding'!J33</x:f>
        <x:v>3600000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'Operations'!E21</x:f>
        <x:v>444740.8</x:v>
      </x:c>
      <x:c r="E14" s="2"/>
      <x:c r="F14" s="2"/>
      <x:c r="G14" s="71" t="n">
        <x:f>'Operations'!K9</x:f>
        <x:v>46508</x:v>
      </x:c>
      <x:c r="H14" s="72" t="n">
        <x:f>'Debt and Funding'!K36</x:f>
        <x:v>13561.73333333333</x:v>
      </x:c>
      <x:c r="I14" s="72" t="n">
        <x:f>'Debt and Funding'!K37</x:f>
        <x:v>61808.66666666668</x:v>
      </x:c>
      <x:c r="J14" s="72" t="n">
        <x:f>'Debt and Funding'!K33</x:f>
        <x:v>3600000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444740.8</x:v>
      </x:c>
      <x:c r="E15" s="2"/>
      <x:c r="F15" s="2"/>
      <x:c r="G15" s="71" t="n">
        <x:f>'Operations'!L9</x:f>
        <x:v>46539</x:v>
      </x:c>
      <x:c r="H15" s="72" t="n">
        <x:f>'Debt and Funding'!L36</x:f>
        <x:v>13561.73333333333</x:v>
      </x:c>
      <x:c r="I15" s="72" t="n">
        <x:f>'Debt and Funding'!L37</x:f>
        <x:v>75370.40000000001</x:v>
      </x:c>
      <x:c r="J15" s="72" t="n">
        <x:f>'Debt and Funding'!L33</x:f>
        <x:v>3600000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4391154.058184106</x:v>
      </x:c>
      <x:c r="E16" s="2"/>
      <x:c r="F16" s="2"/>
      <x:c r="G16" s="71" t="n">
        <x:f>'Operations'!M9</x:f>
        <x:v>46569</x:v>
      </x:c>
      <x:c r="H16" s="72" t="n">
        <x:f>'Debt and Funding'!M36</x:f>
        <x:v>8754.27552481823</x:v>
      </x:c>
      <x:c r="I16" s="72" t="n">
        <x:f>'Debt and Funding'!M37</x:f>
        <x:v>84124.67552481825</x:v>
      </x:c>
      <x:c r="J16" s="72" t="n">
        <x:f>'Debt and Funding'!M33</x:f>
        <x:v>3595192.542191485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3900000</x:v>
      </x:c>
      <x:c r="E17" s="2"/>
      <x:c r="F17" s="2"/>
      <x:c r="G17" s="71" t="n">
        <x:f>'Operations'!N9</x:f>
        <x:v>46600</x:v>
      </x:c>
      <x:c r="H17" s="72" t="n">
        <x:f>'Debt and Funding'!N36</x:f>
        <x:v>8754.27552481823</x:v>
      </x:c>
      <x:c r="I17" s="72" t="n">
        <x:f>'Debt and Funding'!N37</x:f>
        <x:v>92878.95104963647</x:v>
      </x:c>
      <x:c r="J17" s="72" t="n">
        <x:f>'Debt and Funding'!N33</x:f>
        <x:v>3590359.043986507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4941564.444444445</x:v>
      </x:c>
      <x:c r="E18" s="2"/>
      <x:c r="F18" s="2"/>
      <x:c r="G18" s="71" t="n">
        <x:f>'Operations'!O9</x:f>
        <x:v>46631</x:v>
      </x:c>
      <x:c r="H18" s="72" t="n">
        <x:f>'Debt and Funding'!O36</x:f>
        <x:v>8754.27552481823</x:v>
      </x:c>
      <x:c r="I18" s="72" t="n">
        <x:f>'Debt and Funding'!O37</x:f>
        <x:v>101633.22657445469</x:v>
      </x:c>
      <x:c r="J18" s="72" t="n">
        <x:f>'Debt and Funding'!O33</x:f>
        <x:v>3585499.364332919</x:v>
      </x:c>
      <x:c r="K18" s="2"/>
      <x:c r="L18" s="2"/>
    </x:row>
    <x:row r="19" ht="21" customHeight="1">
      <x:c r="A19" s="2"/>
      <x:c r="B19" s="2"/>
      <x:c r="C19" s="58" t="str">
        <x:v>Sized loan</x:v>
      </x:c>
      <x:c r="D19" s="68" t="n">
        <x:f>'Debt and Funding'!D14</x:f>
        <x:v>3600000</x:v>
      </x:c>
      <x:c r="E19" s="2"/>
      <x:c r="F19" s="2"/>
      <x:c r="G19" s="71" t="n">
        <x:f>'Operations'!P9</x:f>
        <x:v>46661</x:v>
      </x:c>
      <x:c r="H19" s="72" t="n">
        <x:f>'Debt and Funding'!P36</x:f>
        <x:v>8754.27552481823</x:v>
      </x:c>
      <x:c r="I19" s="72" t="n">
        <x:f>'Debt and Funding'!P37</x:f>
        <x:v>110387.50209927291</x:v>
      </x:c>
      <x:c r="J19" s="72" t="n">
        <x:f>'Debt and Funding'!P33</x:f>
        <x:v>3580613.3614145406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9" t="str">
        <x:f>'Debt and Funding'!D15</x:f>
        <x:v>Requested ceiling</x:v>
      </x:c>
      <x:c r="E20" s="2"/>
      <x:c r="F20" s="2"/>
      <x:c r="G20" s="71" t="n">
        <x:f>'Operations'!Q9</x:f>
        <x:v>46692</x:v>
      </x:c>
      <x:c r="H20" s="72" t="n">
        <x:f>'Debt and Funding'!Q36</x:f>
        <x:v>8754.27552481823</x:v>
      </x:c>
      <x:c r="I20" s="72" t="n">
        <x:f>'Debt and Funding'!Q37</x:f>
        <x:v>119141.77762409113</x:v>
      </x:c>
      <x:c r="J20" s="72" t="n">
        <x:f>'Debt and Funding'!Q33</x:f>
        <x:v>3575700.892647021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262844.7468510907</x:v>
      </x:c>
      <x:c r="E21" s="2"/>
      <x:c r="F21" s="2"/>
      <x:c r="G21" s="71" t="n">
        <x:f>'Operations'!R9</x:f>
        <x:v>46722</x:v>
      </x:c>
      <x:c r="H21" s="72" t="n">
        <x:f>'Debt and Funding'!R36</x:f>
        <x:v>8754.27552481823</x:v>
      </x:c>
      <x:c r="I21" s="72" t="n">
        <x:f>'Debt and Funding'!R37</x:f>
        <x:v>127896.05314890936</x:v>
      </x:c>
      <x:c r="J21" s="72" t="n">
        <x:f>'Debt and Funding'!R33</x:f>
        <x:v>3570761.814673677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70" t="n">
        <x:f>'Debt and Funding'!D44</x:f>
        <x:v>1.6920284895477053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2300000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700000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8" t="str">
        <x:v>Sponsor cash after all modeled needs</x:v>
      </x:c>
      <x:c r="D26" s="68" t="n">
        <x:f>'Debt and Funding'!D47</x:f>
        <x:v>700000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3570761.814673677</x:v>
      </x:c>
      <x:c r="E27" s="2"/>
      <x:c r="F27" s="2"/>
      <x:c r="G27" s="2" t="str">
        <x:v>Edit blue cells in Usable Acres and Site Cash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3299379.4982533795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5000000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3000000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3000000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3000000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3600000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3600000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3600000</x:v>
      </x:c>
      <x:c r="E30" s="2"/>
      <x:c r="F30" s="2"/>
      <x:c r="G30" s="42" t="str">
        <x:v>Excluded acres include the actual mapped setbacks, access, stormwater and unusable areas. Excluded area greater than gross area is unavailable, rather than treated as zero usable land.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Leasing is capped by usable acreage. The volume sensitivity changes requested leased area, not physical acreage or legal permission. Upkeep continues across all usable land, including vacant acres.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Recoveries are actual cash collected separately from rent. Keep reimbursable expense in gross site costs; do not net that cost and also add the reimbursement. Fixed costs exclude upkeep and site services already scheduled.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Site capital is below NCF and is not treated as additional acreage. Permitted use, surfaces, access, environmental conditions and stormwater requirements require parcel-specific review; acreage and cash-flow calculations establish none of those rights.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95000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95000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110000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Usable Acres and Site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Gross site acres</x:v>
      </x:c>
      <x:c r="E9" s="21" t="str">
        <x:v>Excluded / unusable acres</x:v>
      </x:c>
      <x:c r="F9" s="21" t="str">
        <x:v>Requested leased acres</x:v>
      </x:c>
      <x:c r="G9" s="21" t="str">
        <x:v>Monthly rent / usable leased acre</x:v>
      </x:c>
      <x:c r="H9" s="21" t="str">
        <x:v>Rent collection fraction</x:v>
      </x:c>
      <x:c r="I9" s="21" t="str">
        <x:v>Monthly upkeep / usable acre</x:v>
      </x:c>
      <x:c r="J9" s="21" t="str">
        <x:v>Monthly security and site services</x:v>
      </x:c>
      <x:c r="K9" s="21" t="str">
        <x:v>Drainage, surface and site capital</x:v>
      </x:c>
      <x:c r="L9" s="21" t="str">
        <x:v>Actual tenant cost recoveries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10</x:v>
      </x:c>
      <x:c r="E10" s="16" t="n">
        <x:v>2</x:v>
      </x:c>
      <x:c r="F10" s="16" t="n">
        <x:v>7.5</x:v>
      </x:c>
      <x:c r="G10" s="27" t="n">
        <x:v>7200</x:v>
      </x:c>
      <x:c r="H10" s="30" t="n">
        <x:v>0.98</x:v>
      </x:c>
      <x:c r="I10" s="27" t="n">
        <x:v>450</x:v>
      </x:c>
      <x:c r="J10" s="27" t="n">
        <x:v>4500</x:v>
      </x:c>
      <x:c r="K10" s="27" t="n">
        <x:v>4000</x:v>
      </x:c>
      <x:c r="L10" s="27" t="n">
        <x:v>1800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0,G10&lt;=1000000000000),FALSE),IF(ISNUMBER(H10),AND(H10&gt;=0,H10&lt;=1)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10</x:v>
      </x:c>
      <x:c r="E11" s="16" t="n">
        <x:v>2</x:v>
      </x:c>
      <x:c r="F11" s="16" t="n">
        <x:v>7.5</x:v>
      </x:c>
      <x:c r="G11" s="27" t="n">
        <x:v>7200</x:v>
      </x:c>
      <x:c r="H11" s="30" t="n">
        <x:v>0.98</x:v>
      </x:c>
      <x:c r="I11" s="27" t="n">
        <x:v>450</x:v>
      </x:c>
      <x:c r="J11" s="27" t="n">
        <x:v>4500</x:v>
      </x:c>
      <x:c r="K11" s="27" t="n">
        <x:v>4000</x:v>
      </x:c>
      <x:c r="L11" s="27" t="n">
        <x:v>1800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0,G11&lt;=1000000000000),FALSE),IF(ISNUMBER(H11),AND(H11&gt;=0,H11&lt;=1)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10</x:v>
      </x:c>
      <x:c r="E12" s="16" t="n">
        <x:v>2</x:v>
      </x:c>
      <x:c r="F12" s="16" t="n">
        <x:v>7.5</x:v>
      </x:c>
      <x:c r="G12" s="27" t="n">
        <x:v>7200</x:v>
      </x:c>
      <x:c r="H12" s="30" t="n">
        <x:v>0.98</x:v>
      </x:c>
      <x:c r="I12" s="27" t="n">
        <x:v>450</x:v>
      </x:c>
      <x:c r="J12" s="27" t="n">
        <x:v>4500</x:v>
      </x:c>
      <x:c r="K12" s="27" t="n">
        <x:v>4000</x:v>
      </x:c>
      <x:c r="L12" s="27" t="n">
        <x:v>1800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0,G12&lt;=1000000000000),FALSE),IF(ISNUMBER(H12),AND(H12&gt;=0,H12&lt;=1)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10</x:v>
      </x:c>
      <x:c r="E13" s="16" t="n">
        <x:v>2</x:v>
      </x:c>
      <x:c r="F13" s="16" t="n">
        <x:v>7.5</x:v>
      </x:c>
      <x:c r="G13" s="27" t="n">
        <x:v>7200</x:v>
      </x:c>
      <x:c r="H13" s="30" t="n">
        <x:v>0.98</x:v>
      </x:c>
      <x:c r="I13" s="27" t="n">
        <x:v>450</x:v>
      </x:c>
      <x:c r="J13" s="27" t="n">
        <x:v>4500</x:v>
      </x:c>
      <x:c r="K13" s="27" t="n">
        <x:v>160000</x:v>
      </x:c>
      <x:c r="L13" s="27" t="n">
        <x:v>1800</x:v>
      </x:c>
      <x:c r="M13" s="2"/>
      <x:c r="N13" s="13" t="str">
        <x:f>IF(AND(IF(ISNUMBER(D13),AND(D13&gt;=0,D13&lt;=1000000000000),FALSE),IF(ISNUMBER(E13),AND(E13&gt;=0,E13&lt;=1000000000000),FALSE),IF(ISNUMBER(F13),AND(F13&gt;=0,F13&lt;=1000000000000),FALSE),IF(ISNUMBER(G13),AND(G13&gt;=0,G13&lt;=1000000000000),FALSE),IF(ISNUMBER(H13),AND(H13&gt;=0,H13&lt;=1)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10</x:v>
      </x:c>
      <x:c r="E14" s="16" t="n">
        <x:v>2</x:v>
      </x:c>
      <x:c r="F14" s="16" t="n">
        <x:v>7.5</x:v>
      </x:c>
      <x:c r="G14" s="27" t="n">
        <x:v>7200</x:v>
      </x:c>
      <x:c r="H14" s="30" t="n">
        <x:v>0.98</x:v>
      </x:c>
      <x:c r="I14" s="27" t="n">
        <x:v>450</x:v>
      </x:c>
      <x:c r="J14" s="27" t="n">
        <x:v>4500</x:v>
      </x:c>
      <x:c r="K14" s="27" t="n">
        <x:v>4000</x:v>
      </x:c>
      <x:c r="L14" s="27" t="n">
        <x:v>1800</x:v>
      </x:c>
      <x:c r="M14" s="2"/>
      <x:c r="N14" s="13" t="str">
        <x:f>IF(AND(IF(ISNUMBER(D14),AND(D14&gt;=0,D14&lt;=1000000000000),FALSE),IF(ISNUMBER(E14),AND(E14&gt;=0,E14&lt;=1000000000000),FALSE),IF(ISNUMBER(F14),AND(F14&gt;=0,F14&lt;=1000000000000),FALSE),IF(ISNUMBER(G14),AND(G14&gt;=0,G14&lt;=1000000000000),FALSE),IF(ISNUMBER(H14),AND(H14&gt;=0,H14&lt;=1)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10</x:v>
      </x:c>
      <x:c r="E15" s="16" t="n">
        <x:v>2</x:v>
      </x:c>
      <x:c r="F15" s="16" t="n">
        <x:v>7.5</x:v>
      </x:c>
      <x:c r="G15" s="27" t="n">
        <x:v>7200</x:v>
      </x:c>
      <x:c r="H15" s="30" t="n">
        <x:v>0.98</x:v>
      </x:c>
      <x:c r="I15" s="27" t="n">
        <x:v>450</x:v>
      </x:c>
      <x:c r="J15" s="27" t="n">
        <x:v>4500</x:v>
      </x:c>
      <x:c r="K15" s="27" t="n">
        <x:v>4000</x:v>
      </x:c>
      <x:c r="L15" s="27" t="n">
        <x:v>1800</x:v>
      </x:c>
      <x:c r="M15" s="2"/>
      <x:c r="N15" s="13" t="str">
        <x:f>IF(AND(IF(ISNUMBER(D15),AND(D15&gt;=0,D15&lt;=1000000000000),FALSE),IF(ISNUMBER(E15),AND(E15&gt;=0,E15&lt;=1000000000000),FALSE),IF(ISNUMBER(F15),AND(F15&gt;=0,F15&lt;=1000000000000),FALSE),IF(ISNUMBER(G15),AND(G15&gt;=0,G15&lt;=1000000000000),FALSE),IF(ISNUMBER(H15),AND(H15&gt;=0,H15&lt;=1)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10</x:v>
      </x:c>
      <x:c r="E16" s="16" t="n">
        <x:v>2</x:v>
      </x:c>
      <x:c r="F16" s="16" t="n">
        <x:v>7.5</x:v>
      </x:c>
      <x:c r="G16" s="27" t="n">
        <x:v>7200</x:v>
      </x:c>
      <x:c r="H16" s="30" t="n">
        <x:v>0.98</x:v>
      </x:c>
      <x:c r="I16" s="27" t="n">
        <x:v>450</x:v>
      </x:c>
      <x:c r="J16" s="27" t="n">
        <x:v>4500</x:v>
      </x:c>
      <x:c r="K16" s="27" t="n">
        <x:v>4000</x:v>
      </x:c>
      <x:c r="L16" s="27" t="n">
        <x:v>1800</x:v>
      </x:c>
      <x:c r="M16" s="2"/>
      <x:c r="N16" s="13" t="str">
        <x:f>IF(AND(IF(ISNUMBER(D16),AND(D16&gt;=0,D16&lt;=1000000000000),FALSE),IF(ISNUMBER(E16),AND(E16&gt;=0,E16&lt;=1000000000000),FALSE),IF(ISNUMBER(F16),AND(F16&gt;=0,F16&lt;=1000000000000),FALSE),IF(ISNUMBER(G16),AND(G16&gt;=0,G16&lt;=1000000000000),FALSE),IF(ISNUMBER(H16),AND(H16&gt;=0,H16&lt;=1)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10</x:v>
      </x:c>
      <x:c r="E17" s="16" t="n">
        <x:v>2</x:v>
      </x:c>
      <x:c r="F17" s="16" t="n">
        <x:v>7.5</x:v>
      </x:c>
      <x:c r="G17" s="27" t="n">
        <x:v>7200</x:v>
      </x:c>
      <x:c r="H17" s="30" t="n">
        <x:v>0.98</x:v>
      </x:c>
      <x:c r="I17" s="27" t="n">
        <x:v>450</x:v>
      </x:c>
      <x:c r="J17" s="27" t="n">
        <x:v>4500</x:v>
      </x:c>
      <x:c r="K17" s="27" t="n">
        <x:v>4000</x:v>
      </x:c>
      <x:c r="L17" s="27" t="n">
        <x:v>1800</x:v>
      </x:c>
      <x:c r="M17" s="2"/>
      <x:c r="N17" s="13" t="str">
        <x:f>IF(AND(IF(ISNUMBER(D17),AND(D17&gt;=0,D17&lt;=1000000000000),FALSE),IF(ISNUMBER(E17),AND(E17&gt;=0,E17&lt;=1000000000000),FALSE),IF(ISNUMBER(F17),AND(F17&gt;=0,F17&lt;=1000000000000),FALSE),IF(ISNUMBER(G17),AND(G17&gt;=0,G17&lt;=1000000000000),FALSE),IF(ISNUMBER(H17),AND(H17&gt;=0,H17&lt;=1)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10</x:v>
      </x:c>
      <x:c r="E18" s="16" t="n">
        <x:v>2</x:v>
      </x:c>
      <x:c r="F18" s="16" t="n">
        <x:v>7.5</x:v>
      </x:c>
      <x:c r="G18" s="27" t="n">
        <x:v>7200</x:v>
      </x:c>
      <x:c r="H18" s="30" t="n">
        <x:v>0.98</x:v>
      </x:c>
      <x:c r="I18" s="27" t="n">
        <x:v>450</x:v>
      </x:c>
      <x:c r="J18" s="27" t="n">
        <x:v>4500</x:v>
      </x:c>
      <x:c r="K18" s="27" t="n">
        <x:v>4000</x:v>
      </x:c>
      <x:c r="L18" s="27" t="n">
        <x:v>1800</x:v>
      </x:c>
      <x:c r="M18" s="2"/>
      <x:c r="N18" s="13" t="str">
        <x:f>IF(AND(IF(ISNUMBER(D18),AND(D18&gt;=0,D18&lt;=1000000000000),FALSE),IF(ISNUMBER(E18),AND(E18&gt;=0,E18&lt;=1000000000000),FALSE),IF(ISNUMBER(F18),AND(F18&gt;=0,F18&lt;=1000000000000),FALSE),IF(ISNUMBER(G18),AND(G18&gt;=0,G18&lt;=1000000000000),FALSE),IF(ISNUMBER(H18),AND(H18&gt;=0,H18&lt;=1)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10</x:v>
      </x:c>
      <x:c r="E19" s="16" t="n">
        <x:v>2</x:v>
      </x:c>
      <x:c r="F19" s="16" t="n">
        <x:v>7.5</x:v>
      </x:c>
      <x:c r="G19" s="27" t="n">
        <x:v>7200</x:v>
      </x:c>
      <x:c r="H19" s="30" t="n">
        <x:v>0.98</x:v>
      </x:c>
      <x:c r="I19" s="27" t="n">
        <x:v>450</x:v>
      </x:c>
      <x:c r="J19" s="27" t="n">
        <x:v>4500</x:v>
      </x:c>
      <x:c r="K19" s="27" t="n">
        <x:v>4000</x:v>
      </x:c>
      <x:c r="L19" s="27" t="n">
        <x:v>1800</x:v>
      </x:c>
      <x:c r="M19" s="2"/>
      <x:c r="N19" s="13" t="str">
        <x:f>IF(AND(IF(ISNUMBER(D19),AND(D19&gt;=0,D19&lt;=1000000000000),FALSE),IF(ISNUMBER(E19),AND(E19&gt;=0,E19&lt;=1000000000000),FALSE),IF(ISNUMBER(F19),AND(F19&gt;=0,F19&lt;=1000000000000),FALSE),IF(ISNUMBER(G19),AND(G19&gt;=0,G19&lt;=1000000000000),FALSE),IF(ISNUMBER(H19),AND(H19&gt;=0,H19&lt;=1)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10</x:v>
      </x:c>
      <x:c r="E20" s="16" t="n">
        <x:v>2</x:v>
      </x:c>
      <x:c r="F20" s="16" t="n">
        <x:v>7.5</x:v>
      </x:c>
      <x:c r="G20" s="27" t="n">
        <x:v>7200</x:v>
      </x:c>
      <x:c r="H20" s="30" t="n">
        <x:v>0.98</x:v>
      </x:c>
      <x:c r="I20" s="27" t="n">
        <x:v>450</x:v>
      </x:c>
      <x:c r="J20" s="27" t="n">
        <x:v>4500</x:v>
      </x:c>
      <x:c r="K20" s="27" t="n">
        <x:v>4000</x:v>
      </x:c>
      <x:c r="L20" s="27" t="n">
        <x:v>1800</x:v>
      </x:c>
      <x:c r="M20" s="2"/>
      <x:c r="N20" s="13" t="str">
        <x:f>IF(AND(IF(ISNUMBER(D20),AND(D20&gt;=0,D20&lt;=1000000000000),FALSE),IF(ISNUMBER(E20),AND(E20&gt;=0,E20&lt;=1000000000000),FALSE),IF(ISNUMBER(F20),AND(F20&gt;=0,F20&lt;=1000000000000),FALSE),IF(ISNUMBER(G20),AND(G20&gt;=0,G20&lt;=1000000000000),FALSE),IF(ISNUMBER(H20),AND(H20&gt;=0,H20&lt;=1)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10</x:v>
      </x:c>
      <x:c r="E21" s="16" t="n">
        <x:v>2</x:v>
      </x:c>
      <x:c r="F21" s="16" t="n">
        <x:v>7.5</x:v>
      </x:c>
      <x:c r="G21" s="27" t="n">
        <x:v>7200</x:v>
      </x:c>
      <x:c r="H21" s="30" t="n">
        <x:v>0.98</x:v>
      </x:c>
      <x:c r="I21" s="27" t="n">
        <x:v>450</x:v>
      </x:c>
      <x:c r="J21" s="27" t="n">
        <x:v>4500</x:v>
      </x:c>
      <x:c r="K21" s="27" t="n">
        <x:v>4000</x:v>
      </x:c>
      <x:c r="L21" s="27" t="n">
        <x:v>1800</x:v>
      </x:c>
      <x:c r="M21" s="2"/>
      <x:c r="N21" s="13" t="str">
        <x:f>IF(AND(IF(ISNUMBER(D21),AND(D21&gt;=0,D21&lt;=1000000000000),FALSE),IF(ISNUMBER(E21),AND(E21&gt;=0,E21&lt;=1000000000000),FALSE),IF(ISNUMBER(F21),AND(F21&gt;=0,F21&lt;=1000000000000),FALSE),IF(ISNUMBER(G21),AND(G21&gt;=0,G21&lt;=1000000000000),FALSE),IF(ISNUMBER(H21),AND(H21&gt;=0,H21&lt;=1)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Usable site area</x:v>
      </x:c>
      <x:c r="D10" s="2" t="str">
        <x:v>acres avg</x:v>
      </x:c>
      <x:c r="E10" s="49" t="n">
        <x:f>IF(COUNT(G10:R10)=12,AVERAGE(G10:R10),"n.a.")</x:f>
        <x:v>8</x:v>
      </x:c>
      <x:c r="F10" s="2"/>
      <x:c r="G10" s="48" t="n">
        <x:f>IF(AND('Usable Acres and Site Cash'!N10="OK"),IF(AND(ISNUMBER('Usable Acres and Site Cash'!$E$10),ISNUMBER('Usable Acres and Site Cash'!$D$10)),IF('Usable Acres and Site Cash'!$E$10&lt;='Usable Acres and Site Cash'!$D$10,'Usable Acres and Site Cash'!$D$10-'Usable Acres and Site Cash'!$E$10,"n.a."),"n.a."),"n.a.")</x:f>
        <x:v>8</x:v>
      </x:c>
      <x:c r="H10" s="48" t="n">
        <x:f>IF(AND('Usable Acres and Site Cash'!N11="OK"),IF(AND(ISNUMBER('Usable Acres and Site Cash'!$E$11),ISNUMBER('Usable Acres and Site Cash'!$D$11)),IF('Usable Acres and Site Cash'!$E$11&lt;='Usable Acres and Site Cash'!$D$11,'Usable Acres and Site Cash'!$D$11-'Usable Acres and Site Cash'!$E$11,"n.a."),"n.a."),"n.a.")</x:f>
        <x:v>8</x:v>
      </x:c>
      <x:c r="I10" s="48" t="n">
        <x:f>IF(AND('Usable Acres and Site Cash'!N12="OK"),IF(AND(ISNUMBER('Usable Acres and Site Cash'!$E$12),ISNUMBER('Usable Acres and Site Cash'!$D$12)),IF('Usable Acres and Site Cash'!$E$12&lt;='Usable Acres and Site Cash'!$D$12,'Usable Acres and Site Cash'!$D$12-'Usable Acres and Site Cash'!$E$12,"n.a."),"n.a."),"n.a.")</x:f>
        <x:v>8</x:v>
      </x:c>
      <x:c r="J10" s="48" t="n">
        <x:f>IF(AND('Usable Acres and Site Cash'!N13="OK"),IF(AND(ISNUMBER('Usable Acres and Site Cash'!$E$13),ISNUMBER('Usable Acres and Site Cash'!$D$13)),IF('Usable Acres and Site Cash'!$E$13&lt;='Usable Acres and Site Cash'!$D$13,'Usable Acres and Site Cash'!$D$13-'Usable Acres and Site Cash'!$E$13,"n.a."),"n.a."),"n.a.")</x:f>
        <x:v>8</x:v>
      </x:c>
      <x:c r="K10" s="48" t="n">
        <x:f>IF(AND('Usable Acres and Site Cash'!N14="OK"),IF(AND(ISNUMBER('Usable Acres and Site Cash'!$E$14),ISNUMBER('Usable Acres and Site Cash'!$D$14)),IF('Usable Acres and Site Cash'!$E$14&lt;='Usable Acres and Site Cash'!$D$14,'Usable Acres and Site Cash'!$D$14-'Usable Acres and Site Cash'!$E$14,"n.a."),"n.a."),"n.a.")</x:f>
        <x:v>8</x:v>
      </x:c>
      <x:c r="L10" s="48" t="n">
        <x:f>IF(AND('Usable Acres and Site Cash'!N15="OK"),IF(AND(ISNUMBER('Usable Acres and Site Cash'!$E$15),ISNUMBER('Usable Acres and Site Cash'!$D$15)),IF('Usable Acres and Site Cash'!$E$15&lt;='Usable Acres and Site Cash'!$D$15,'Usable Acres and Site Cash'!$D$15-'Usable Acres and Site Cash'!$E$15,"n.a."),"n.a."),"n.a.")</x:f>
        <x:v>8</x:v>
      </x:c>
      <x:c r="M10" s="48" t="n">
        <x:f>IF(AND('Usable Acres and Site Cash'!N16="OK"),IF(AND(ISNUMBER('Usable Acres and Site Cash'!$E$16),ISNUMBER('Usable Acres and Site Cash'!$D$16)),IF('Usable Acres and Site Cash'!$E$16&lt;='Usable Acres and Site Cash'!$D$16,'Usable Acres and Site Cash'!$D$16-'Usable Acres and Site Cash'!$E$16,"n.a."),"n.a."),"n.a.")</x:f>
        <x:v>8</x:v>
      </x:c>
      <x:c r="N10" s="48" t="n">
        <x:f>IF(AND('Usable Acres and Site Cash'!N17="OK"),IF(AND(ISNUMBER('Usable Acres and Site Cash'!$E$17),ISNUMBER('Usable Acres and Site Cash'!$D$17)),IF('Usable Acres and Site Cash'!$E$17&lt;='Usable Acres and Site Cash'!$D$17,'Usable Acres and Site Cash'!$D$17-'Usable Acres and Site Cash'!$E$17,"n.a."),"n.a."),"n.a.")</x:f>
        <x:v>8</x:v>
      </x:c>
      <x:c r="O10" s="48" t="n">
        <x:f>IF(AND('Usable Acres and Site Cash'!N18="OK"),IF(AND(ISNUMBER('Usable Acres and Site Cash'!$E$18),ISNUMBER('Usable Acres and Site Cash'!$D$18)),IF('Usable Acres and Site Cash'!$E$18&lt;='Usable Acres and Site Cash'!$D$18,'Usable Acres and Site Cash'!$D$18-'Usable Acres and Site Cash'!$E$18,"n.a."),"n.a."),"n.a.")</x:f>
        <x:v>8</x:v>
      </x:c>
      <x:c r="P10" s="48" t="n">
        <x:f>IF(AND('Usable Acres and Site Cash'!N19="OK"),IF(AND(ISNUMBER('Usable Acres and Site Cash'!$E$19),ISNUMBER('Usable Acres and Site Cash'!$D$19)),IF('Usable Acres and Site Cash'!$E$19&lt;='Usable Acres and Site Cash'!$D$19,'Usable Acres and Site Cash'!$D$19-'Usable Acres and Site Cash'!$E$19,"n.a."),"n.a."),"n.a.")</x:f>
        <x:v>8</x:v>
      </x:c>
      <x:c r="Q10" s="48" t="n">
        <x:f>IF(AND('Usable Acres and Site Cash'!N20="OK"),IF(AND(ISNUMBER('Usable Acres and Site Cash'!$E$20),ISNUMBER('Usable Acres and Site Cash'!$D$20)),IF('Usable Acres and Site Cash'!$E$20&lt;='Usable Acres and Site Cash'!$D$20,'Usable Acres and Site Cash'!$D$20-'Usable Acres and Site Cash'!$E$20,"n.a."),"n.a."),"n.a.")</x:f>
        <x:v>8</x:v>
      </x:c>
      <x:c r="R10" s="48" t="n">
        <x:f>IF(AND('Usable Acres and Site Cash'!N21="OK"),IF(AND(ISNUMBER('Usable Acres and Site Cash'!$E$21),ISNUMBER('Usable Acres and Site Cash'!$D$21)),IF('Usable Acres and Site Cash'!$E$21&lt;='Usable Acres and Site Cash'!$D$21,'Usable Acres and Site Cash'!$D$21-'Usable Acres and Site Cash'!$E$21,"n.a."),"n.a."),"n.a.")</x:f>
        <x:v>8</x:v>
      </x:c>
    </x:row>
    <x:row r="11" ht="21" customHeight="1">
      <x:c r="A11" s="2"/>
      <x:c r="B11" s="2"/>
      <x:c r="C11" s="2" t="str">
        <x:v>Leased area within usable capacity</x:v>
      </x:c>
      <x:c r="D11" s="2" t="str">
        <x:v>acres avg</x:v>
      </x:c>
      <x:c r="E11" s="49" t="n">
        <x:f>IF(COUNT(G11:R11)=12,AVERAGE(G11:R11),"n.a.")</x:f>
        <x:v>7.5</x:v>
      </x:c>
      <x:c r="F11" s="2"/>
      <x:c r="G11" s="48" t="n">
        <x:f>IF(AND('Usable Acres and Site Cash'!N10="OK"),IF(AND(ISNUMBER(G10),ISNUMBER('Usable Acres and Site Cash'!$F$10),ISNUMBER('Assumptions'!$D$61)),MIN(G10,'Usable Acres and Site Cash'!$F$10*'Assumptions'!$D$61),"n.a."),"n.a.")</x:f>
        <x:v>7.5</x:v>
      </x:c>
      <x:c r="H11" s="48" t="n">
        <x:f>IF(AND('Usable Acres and Site Cash'!N11="OK"),IF(AND(ISNUMBER(H10),ISNUMBER('Usable Acres and Site Cash'!$F$11),ISNUMBER('Assumptions'!$D$61)),MIN(H10,'Usable Acres and Site Cash'!$F$11*'Assumptions'!$D$61),"n.a."),"n.a.")</x:f>
        <x:v>7.5</x:v>
      </x:c>
      <x:c r="I11" s="48" t="n">
        <x:f>IF(AND('Usable Acres and Site Cash'!N12="OK"),IF(AND(ISNUMBER(I10),ISNUMBER('Usable Acres and Site Cash'!$F$12),ISNUMBER('Assumptions'!$D$61)),MIN(I10,'Usable Acres and Site Cash'!$F$12*'Assumptions'!$D$61),"n.a."),"n.a.")</x:f>
        <x:v>7.5</x:v>
      </x:c>
      <x:c r="J11" s="48" t="n">
        <x:f>IF(AND('Usable Acres and Site Cash'!N13="OK"),IF(AND(ISNUMBER(J10),ISNUMBER('Usable Acres and Site Cash'!$F$13),ISNUMBER('Assumptions'!$D$61)),MIN(J10,'Usable Acres and Site Cash'!$F$13*'Assumptions'!$D$61),"n.a."),"n.a.")</x:f>
        <x:v>7.5</x:v>
      </x:c>
      <x:c r="K11" s="48" t="n">
        <x:f>IF(AND('Usable Acres and Site Cash'!N14="OK"),IF(AND(ISNUMBER(K10),ISNUMBER('Usable Acres and Site Cash'!$F$14),ISNUMBER('Assumptions'!$D$61)),MIN(K10,'Usable Acres and Site Cash'!$F$14*'Assumptions'!$D$61),"n.a."),"n.a.")</x:f>
        <x:v>7.5</x:v>
      </x:c>
      <x:c r="L11" s="48" t="n">
        <x:f>IF(AND('Usable Acres and Site Cash'!N15="OK"),IF(AND(ISNUMBER(L10),ISNUMBER('Usable Acres and Site Cash'!$F$15),ISNUMBER('Assumptions'!$D$61)),MIN(L10,'Usable Acres and Site Cash'!$F$15*'Assumptions'!$D$61),"n.a."),"n.a.")</x:f>
        <x:v>7.5</x:v>
      </x:c>
      <x:c r="M11" s="48" t="n">
        <x:f>IF(AND('Usable Acres and Site Cash'!N16="OK"),IF(AND(ISNUMBER(M10),ISNUMBER('Usable Acres and Site Cash'!$F$16),ISNUMBER('Assumptions'!$D$61)),MIN(M10,'Usable Acres and Site Cash'!$F$16*'Assumptions'!$D$61),"n.a."),"n.a.")</x:f>
        <x:v>7.5</x:v>
      </x:c>
      <x:c r="N11" s="48" t="n">
        <x:f>IF(AND('Usable Acres and Site Cash'!N17="OK"),IF(AND(ISNUMBER(N10),ISNUMBER('Usable Acres and Site Cash'!$F$17),ISNUMBER('Assumptions'!$D$61)),MIN(N10,'Usable Acres and Site Cash'!$F$17*'Assumptions'!$D$61),"n.a."),"n.a.")</x:f>
        <x:v>7.5</x:v>
      </x:c>
      <x:c r="O11" s="48" t="n">
        <x:f>IF(AND('Usable Acres and Site Cash'!N18="OK"),IF(AND(ISNUMBER(O10),ISNUMBER('Usable Acres and Site Cash'!$F$18),ISNUMBER('Assumptions'!$D$61)),MIN(O10,'Usable Acres and Site Cash'!$F$18*'Assumptions'!$D$61),"n.a."),"n.a.")</x:f>
        <x:v>7.5</x:v>
      </x:c>
      <x:c r="P11" s="48" t="n">
        <x:f>IF(AND('Usable Acres and Site Cash'!N19="OK"),IF(AND(ISNUMBER(P10),ISNUMBER('Usable Acres and Site Cash'!$F$19),ISNUMBER('Assumptions'!$D$61)),MIN(P10,'Usable Acres and Site Cash'!$F$19*'Assumptions'!$D$61),"n.a."),"n.a.")</x:f>
        <x:v>7.5</x:v>
      </x:c>
      <x:c r="Q11" s="48" t="n">
        <x:f>IF(AND('Usable Acres and Site Cash'!N20="OK"),IF(AND(ISNUMBER(Q10),ISNUMBER('Usable Acres and Site Cash'!$F$20),ISNUMBER('Assumptions'!$D$61)),MIN(Q10,'Usable Acres and Site Cash'!$F$20*'Assumptions'!$D$61),"n.a."),"n.a.")</x:f>
        <x:v>7.5</x:v>
      </x:c>
      <x:c r="R11" s="48" t="n">
        <x:f>IF(AND('Usable Acres and Site Cash'!N21="OK"),IF(AND(ISNUMBER(R10),ISNUMBER('Usable Acres and Site Cash'!$F$21),ISNUMBER('Assumptions'!$D$61)),MIN(R10,'Usable Acres and Site Cash'!$F$21*'Assumptions'!$D$61),"n.a."),"n.a.")</x:f>
        <x:v>7.5</x:v>
      </x:c>
    </x:row>
    <x:row r="12" ht="21" customHeight="1">
      <x:c r="A12" s="2"/>
      <x:c r="B12" s="2"/>
      <x:c r="C12" s="2" t="str">
        <x:v>Unleased usable area</x:v>
      </x:c>
      <x:c r="D12" s="2" t="str">
        <x:v>acres avg</x:v>
      </x:c>
      <x:c r="E12" s="49" t="n">
        <x:f>IF(COUNT(G12:R12)=12,AVERAGE(G12:R12),"n.a.")</x:f>
        <x:v>0.5</x:v>
      </x:c>
      <x:c r="F12" s="2"/>
      <x:c r="G12" s="49" t="n">
        <x:f>IF(AND(ISNUMBER(G10),ISNUMBER(G11)),G10-G11,"n.a.")</x:f>
        <x:v>0.5</x:v>
      </x:c>
      <x:c r="H12" s="49" t="n">
        <x:f>IF(AND(ISNUMBER(H10),ISNUMBER(H11)),H10-H11,"n.a.")</x:f>
        <x:v>0.5</x:v>
      </x:c>
      <x:c r="I12" s="49" t="n">
        <x:f>IF(AND(ISNUMBER(I10),ISNUMBER(I11)),I10-I11,"n.a.")</x:f>
        <x:v>0.5</x:v>
      </x:c>
      <x:c r="J12" s="49" t="n">
        <x:f>IF(AND(ISNUMBER(J10),ISNUMBER(J11)),J10-J11,"n.a.")</x:f>
        <x:v>0.5</x:v>
      </x:c>
      <x:c r="K12" s="49" t="n">
        <x:f>IF(AND(ISNUMBER(K10),ISNUMBER(K11)),K10-K11,"n.a.")</x:f>
        <x:v>0.5</x:v>
      </x:c>
      <x:c r="L12" s="49" t="n">
        <x:f>IF(AND(ISNUMBER(L10),ISNUMBER(L11)),L10-L11,"n.a.")</x:f>
        <x:v>0.5</x:v>
      </x:c>
      <x:c r="M12" s="49" t="n">
        <x:f>IF(AND(ISNUMBER(M10),ISNUMBER(M11)),M10-M11,"n.a.")</x:f>
        <x:v>0.5</x:v>
      </x:c>
      <x:c r="N12" s="49" t="n">
        <x:f>IF(AND(ISNUMBER(N10),ISNUMBER(N11)),N10-N11,"n.a.")</x:f>
        <x:v>0.5</x:v>
      </x:c>
      <x:c r="O12" s="49" t="n">
        <x:f>IF(AND(ISNUMBER(O10),ISNUMBER(O11)),O10-O11,"n.a.")</x:f>
        <x:v>0.5</x:v>
      </x:c>
      <x:c r="P12" s="49" t="n">
        <x:f>IF(AND(ISNUMBER(P10),ISNUMBER(P11)),P10-P11,"n.a.")</x:f>
        <x:v>0.5</x:v>
      </x:c>
      <x:c r="Q12" s="49" t="n">
        <x:f>IF(AND(ISNUMBER(Q10),ISNUMBER(Q11)),Q10-Q11,"n.a.")</x:f>
        <x:v>0.5</x:v>
      </x:c>
      <x:c r="R12" s="49" t="n">
        <x:f>IF(AND(ISNUMBER(R10),ISNUMBER(R11)),R10-R11,"n.a.")</x:f>
        <x:v>0.5</x:v>
      </x:c>
    </x:row>
    <x:row r="13" ht="21" customHeight="1">
      <x:c r="A13" s="2"/>
      <x:c r="B13" s="2"/>
      <x:c r="C13" s="2" t="str">
        <x:v>Collected site rent</x:v>
      </x:c>
      <x:c r="D13" s="2" t="str">
        <x:v>USD</x:v>
      </x:c>
      <x:c r="E13" s="52" t="n">
        <x:f>IF(COUNT(G13:R13)=12,SUM(G13:R13),"n.a.")</x:f>
        <x:v>635040</x:v>
      </x:c>
      <x:c r="F13" s="2"/>
      <x:c r="G13" s="51" t="n">
        <x:f>IF(AND('Usable Acres and Site Cash'!N10="OK"),IF(AND(ISNUMBER(G11),ISNUMBER('Usable Acres and Site Cash'!$G$10),ISNUMBER('Usable Acres and Site Cash'!$H$10),ISNUMBER('Assumptions'!$D$64)),G11*'Usable Acres and Site Cash'!$G$10*'Usable Acres and Site Cash'!$H$10*'Assumptions'!$D$64,"n.a."),"n.a.")</x:f>
        <x:v>52920</x:v>
      </x:c>
      <x:c r="H13" s="51" t="n">
        <x:f>IF(AND('Usable Acres and Site Cash'!N11="OK"),IF(AND(ISNUMBER(H11),ISNUMBER('Usable Acres and Site Cash'!$G$11),ISNUMBER('Usable Acres and Site Cash'!$H$11),ISNUMBER('Assumptions'!$D$64)),H11*'Usable Acres and Site Cash'!$G$11*'Usable Acres and Site Cash'!$H$11*'Assumptions'!$D$64,"n.a."),"n.a.")</x:f>
        <x:v>52920</x:v>
      </x:c>
      <x:c r="I13" s="51" t="n">
        <x:f>IF(AND('Usable Acres and Site Cash'!N12="OK"),IF(AND(ISNUMBER(I11),ISNUMBER('Usable Acres and Site Cash'!$G$12),ISNUMBER('Usable Acres and Site Cash'!$H$12),ISNUMBER('Assumptions'!$D$64)),I11*'Usable Acres and Site Cash'!$G$12*'Usable Acres and Site Cash'!$H$12*'Assumptions'!$D$64,"n.a."),"n.a.")</x:f>
        <x:v>52920</x:v>
      </x:c>
      <x:c r="J13" s="51" t="n">
        <x:f>IF(AND('Usable Acres and Site Cash'!N13="OK"),IF(AND(ISNUMBER(J11),ISNUMBER('Usable Acres and Site Cash'!$G$13),ISNUMBER('Usable Acres and Site Cash'!$H$13),ISNUMBER('Assumptions'!$D$64)),J11*'Usable Acres and Site Cash'!$G$13*'Usable Acres and Site Cash'!$H$13*'Assumptions'!$D$64,"n.a."),"n.a.")</x:f>
        <x:v>52920</x:v>
      </x:c>
      <x:c r="K13" s="51" t="n">
        <x:f>IF(AND('Usable Acres and Site Cash'!N14="OK"),IF(AND(ISNUMBER(K11),ISNUMBER('Usable Acres and Site Cash'!$G$14),ISNUMBER('Usable Acres and Site Cash'!$H$14),ISNUMBER('Assumptions'!$D$64)),K11*'Usable Acres and Site Cash'!$G$14*'Usable Acres and Site Cash'!$H$14*'Assumptions'!$D$64,"n.a."),"n.a.")</x:f>
        <x:v>52920</x:v>
      </x:c>
      <x:c r="L13" s="51" t="n">
        <x:f>IF(AND('Usable Acres and Site Cash'!N15="OK"),IF(AND(ISNUMBER(L11),ISNUMBER('Usable Acres and Site Cash'!$G$15),ISNUMBER('Usable Acres and Site Cash'!$H$15),ISNUMBER('Assumptions'!$D$64)),L11*'Usable Acres and Site Cash'!$G$15*'Usable Acres and Site Cash'!$H$15*'Assumptions'!$D$64,"n.a."),"n.a.")</x:f>
        <x:v>52920</x:v>
      </x:c>
      <x:c r="M13" s="51" t="n">
        <x:f>IF(AND('Usable Acres and Site Cash'!N16="OK"),IF(AND(ISNUMBER(M11),ISNUMBER('Usable Acres and Site Cash'!$G$16),ISNUMBER('Usable Acres and Site Cash'!$H$16),ISNUMBER('Assumptions'!$D$64)),M11*'Usable Acres and Site Cash'!$G$16*'Usable Acres and Site Cash'!$H$16*'Assumptions'!$D$64,"n.a."),"n.a.")</x:f>
        <x:v>52920</x:v>
      </x:c>
      <x:c r="N13" s="51" t="n">
        <x:f>IF(AND('Usable Acres and Site Cash'!N17="OK"),IF(AND(ISNUMBER(N11),ISNUMBER('Usable Acres and Site Cash'!$G$17),ISNUMBER('Usable Acres and Site Cash'!$H$17),ISNUMBER('Assumptions'!$D$64)),N11*'Usable Acres and Site Cash'!$G$17*'Usable Acres and Site Cash'!$H$17*'Assumptions'!$D$64,"n.a."),"n.a.")</x:f>
        <x:v>52920</x:v>
      </x:c>
      <x:c r="O13" s="51" t="n">
        <x:f>IF(AND('Usable Acres and Site Cash'!N18="OK"),IF(AND(ISNUMBER(O11),ISNUMBER('Usable Acres and Site Cash'!$G$18),ISNUMBER('Usable Acres and Site Cash'!$H$18),ISNUMBER('Assumptions'!$D$64)),O11*'Usable Acres and Site Cash'!$G$18*'Usable Acres and Site Cash'!$H$18*'Assumptions'!$D$64,"n.a."),"n.a.")</x:f>
        <x:v>52920</x:v>
      </x:c>
      <x:c r="P13" s="51" t="n">
        <x:f>IF(AND('Usable Acres and Site Cash'!N19="OK"),IF(AND(ISNUMBER(P11),ISNUMBER('Usable Acres and Site Cash'!$G$19),ISNUMBER('Usable Acres and Site Cash'!$H$19),ISNUMBER('Assumptions'!$D$64)),P11*'Usable Acres and Site Cash'!$G$19*'Usable Acres and Site Cash'!$H$19*'Assumptions'!$D$64,"n.a."),"n.a.")</x:f>
        <x:v>52920</x:v>
      </x:c>
      <x:c r="Q13" s="51" t="n">
        <x:f>IF(AND('Usable Acres and Site Cash'!N20="OK"),IF(AND(ISNUMBER(Q11),ISNUMBER('Usable Acres and Site Cash'!$G$20),ISNUMBER('Usable Acres and Site Cash'!$H$20),ISNUMBER('Assumptions'!$D$64)),Q11*'Usable Acres and Site Cash'!$G$20*'Usable Acres and Site Cash'!$H$20*'Assumptions'!$D$64,"n.a."),"n.a.")</x:f>
        <x:v>52920</x:v>
      </x:c>
      <x:c r="R13" s="51" t="n">
        <x:f>IF(AND('Usable Acres and Site Cash'!N21="OK"),IF(AND(ISNUMBER(R11),ISNUMBER('Usable Acres and Site Cash'!$G$21),ISNUMBER('Usable Acres and Site Cash'!$H$21),ISNUMBER('Assumptions'!$D$64)),R11*'Usable Acres and Site Cash'!$G$21*'Usable Acres and Site Cash'!$H$21*'Assumptions'!$D$64,"n.a."),"n.a.")</x:f>
        <x:v>52920</x:v>
      </x:c>
    </x:row>
    <x:row r="14" ht="21" customHeight="1">
      <x:c r="A14" s="2"/>
      <x:c r="B14" s="2"/>
      <x:c r="C14" s="58" t="str">
        <x:v>Site rent and actual recoveries</x:v>
      </x:c>
      <x:c r="D14" s="58" t="str">
        <x:v>USD</x:v>
      </x:c>
      <x:c r="E14" s="59" t="n">
        <x:f>IF(COUNT(G14:R14)=12,SUM(G14:R14),"n.a.")</x:f>
        <x:v>656640</x:v>
      </x:c>
      <x:c r="F14" s="58"/>
      <x:c r="G14" s="60" t="n">
        <x:f>IF(AND('Usable Acres and Site Cash'!N10="OK"),IF(AND(ISNUMBER(G13),ISNUMBER('Usable Acres and Site Cash'!$L$10)),G13+'Usable Acres and Site Cash'!$L$10,"n.a."),"n.a.")</x:f>
        <x:v>54720</x:v>
      </x:c>
      <x:c r="H14" s="60" t="n">
        <x:f>IF(AND('Usable Acres and Site Cash'!N11="OK"),IF(AND(ISNUMBER(H13),ISNUMBER('Usable Acres and Site Cash'!$L$11)),H13+'Usable Acres and Site Cash'!$L$11,"n.a."),"n.a.")</x:f>
        <x:v>54720</x:v>
      </x:c>
      <x:c r="I14" s="60" t="n">
        <x:f>IF(AND('Usable Acres and Site Cash'!N12="OK"),IF(AND(ISNUMBER(I13),ISNUMBER('Usable Acres and Site Cash'!$L$12)),I13+'Usable Acres and Site Cash'!$L$12,"n.a."),"n.a.")</x:f>
        <x:v>54720</x:v>
      </x:c>
      <x:c r="J14" s="60" t="n">
        <x:f>IF(AND('Usable Acres and Site Cash'!N13="OK"),IF(AND(ISNUMBER(J13),ISNUMBER('Usable Acres and Site Cash'!$L$13)),J13+'Usable Acres and Site Cash'!$L$13,"n.a."),"n.a.")</x:f>
        <x:v>54720</x:v>
      </x:c>
      <x:c r="K14" s="60" t="n">
        <x:f>IF(AND('Usable Acres and Site Cash'!N14="OK"),IF(AND(ISNUMBER(K13),ISNUMBER('Usable Acres and Site Cash'!$L$14)),K13+'Usable Acres and Site Cash'!$L$14,"n.a."),"n.a.")</x:f>
        <x:v>54720</x:v>
      </x:c>
      <x:c r="L14" s="60" t="n">
        <x:f>IF(AND('Usable Acres and Site Cash'!N15="OK"),IF(AND(ISNUMBER(L13),ISNUMBER('Usable Acres and Site Cash'!$L$15)),L13+'Usable Acres and Site Cash'!$L$15,"n.a."),"n.a.")</x:f>
        <x:v>54720</x:v>
      </x:c>
      <x:c r="M14" s="60" t="n">
        <x:f>IF(AND('Usable Acres and Site Cash'!N16="OK"),IF(AND(ISNUMBER(M13),ISNUMBER('Usable Acres and Site Cash'!$L$16)),M13+'Usable Acres and Site Cash'!$L$16,"n.a."),"n.a.")</x:f>
        <x:v>54720</x:v>
      </x:c>
      <x:c r="N14" s="60" t="n">
        <x:f>IF(AND('Usable Acres and Site Cash'!N17="OK"),IF(AND(ISNUMBER(N13),ISNUMBER('Usable Acres and Site Cash'!$L$17)),N13+'Usable Acres and Site Cash'!$L$17,"n.a."),"n.a.")</x:f>
        <x:v>54720</x:v>
      </x:c>
      <x:c r="O14" s="60" t="n">
        <x:f>IF(AND('Usable Acres and Site Cash'!N18="OK"),IF(AND(ISNUMBER(O13),ISNUMBER('Usable Acres and Site Cash'!$L$18)),O13+'Usable Acres and Site Cash'!$L$18,"n.a."),"n.a.")</x:f>
        <x:v>54720</x:v>
      </x:c>
      <x:c r="P14" s="60" t="n">
        <x:f>IF(AND('Usable Acres and Site Cash'!N19="OK"),IF(AND(ISNUMBER(P13),ISNUMBER('Usable Acres and Site Cash'!$L$19)),P13+'Usable Acres and Site Cash'!$L$19,"n.a."),"n.a.")</x:f>
        <x:v>54720</x:v>
      </x:c>
      <x:c r="Q14" s="60" t="n">
        <x:f>IF(AND('Usable Acres and Site Cash'!N20="OK"),IF(AND(ISNUMBER(Q13),ISNUMBER('Usable Acres and Site Cash'!$L$20)),Q13+'Usable Acres and Site Cash'!$L$20,"n.a."),"n.a.")</x:f>
        <x:v>54720</x:v>
      </x:c>
      <x:c r="R14" s="60" t="n">
        <x:f>IF(AND('Usable Acres and Site Cash'!N21="OK"),IF(AND(ISNUMBER(R13),ISNUMBER('Usable Acres and Site Cash'!$L$21)),R13+'Usable Acres and Site Cash'!$L$21,"n.a."),"n.a.")</x:f>
        <x:v>54720</x:v>
      </x:c>
    </x:row>
    <x:row r="15" ht="21" customHeight="1">
      <x:c r="A15" s="2"/>
      <x:c r="B15" s="2"/>
      <x:c r="C15" s="2" t="str">
        <x:v>Usable-area upkeep and site services</x:v>
      </x:c>
      <x:c r="D15" s="2" t="str">
        <x:v>USD</x:v>
      </x:c>
      <x:c r="E15" s="52" t="n">
        <x:f>IF(COUNT(G15:R15)=12,SUM(G15:R15),"n.a.")</x:f>
        <x:v>97200</x:v>
      </x:c>
      <x:c r="F15" s="2"/>
      <x:c r="G15" s="51" t="n">
        <x:f>IF(AND('Usable Acres and Site Cash'!N10="OK"),IF(AND(ISNUMBER(G10),ISNUMBER('Usable Acres and Site Cash'!$I$10),ISNUMBER('Usable Acres and Site Cash'!$J$10),ISNUMBER('Assumptions'!$D$67)),(G10*'Usable Acres and Site Cash'!$I$10+'Usable Acres and Site Cash'!$J$10)*'Assumptions'!$D$67,"n.a."),"n.a.")</x:f>
        <x:v>8100</x:v>
      </x:c>
      <x:c r="H15" s="51" t="n">
        <x:f>IF(AND('Usable Acres and Site Cash'!N11="OK"),IF(AND(ISNUMBER(H10),ISNUMBER('Usable Acres and Site Cash'!$I$11),ISNUMBER('Usable Acres and Site Cash'!$J$11),ISNUMBER('Assumptions'!$D$67)),(H10*'Usable Acres and Site Cash'!$I$11+'Usable Acres and Site Cash'!$J$11)*'Assumptions'!$D$67,"n.a."),"n.a.")</x:f>
        <x:v>8100</x:v>
      </x:c>
      <x:c r="I15" s="51" t="n">
        <x:f>IF(AND('Usable Acres and Site Cash'!N12="OK"),IF(AND(ISNUMBER(I10),ISNUMBER('Usable Acres and Site Cash'!$I$12),ISNUMBER('Usable Acres and Site Cash'!$J$12),ISNUMBER('Assumptions'!$D$67)),(I10*'Usable Acres and Site Cash'!$I$12+'Usable Acres and Site Cash'!$J$12)*'Assumptions'!$D$67,"n.a."),"n.a.")</x:f>
        <x:v>8100</x:v>
      </x:c>
      <x:c r="J15" s="51" t="n">
        <x:f>IF(AND('Usable Acres and Site Cash'!N13="OK"),IF(AND(ISNUMBER(J10),ISNUMBER('Usable Acres and Site Cash'!$I$13),ISNUMBER('Usable Acres and Site Cash'!$J$13),ISNUMBER('Assumptions'!$D$67)),(J10*'Usable Acres and Site Cash'!$I$13+'Usable Acres and Site Cash'!$J$13)*'Assumptions'!$D$67,"n.a."),"n.a.")</x:f>
        <x:v>8100</x:v>
      </x:c>
      <x:c r="K15" s="51" t="n">
        <x:f>IF(AND('Usable Acres and Site Cash'!N14="OK"),IF(AND(ISNUMBER(K10),ISNUMBER('Usable Acres and Site Cash'!$I$14),ISNUMBER('Usable Acres and Site Cash'!$J$14),ISNUMBER('Assumptions'!$D$67)),(K10*'Usable Acres and Site Cash'!$I$14+'Usable Acres and Site Cash'!$J$14)*'Assumptions'!$D$67,"n.a."),"n.a.")</x:f>
        <x:v>8100</x:v>
      </x:c>
      <x:c r="L15" s="51" t="n">
        <x:f>IF(AND('Usable Acres and Site Cash'!N15="OK"),IF(AND(ISNUMBER(L10),ISNUMBER('Usable Acres and Site Cash'!$I$15),ISNUMBER('Usable Acres and Site Cash'!$J$15),ISNUMBER('Assumptions'!$D$67)),(L10*'Usable Acres and Site Cash'!$I$15+'Usable Acres and Site Cash'!$J$15)*'Assumptions'!$D$67,"n.a."),"n.a.")</x:f>
        <x:v>8100</x:v>
      </x:c>
      <x:c r="M15" s="51" t="n">
        <x:f>IF(AND('Usable Acres and Site Cash'!N16="OK"),IF(AND(ISNUMBER(M10),ISNUMBER('Usable Acres and Site Cash'!$I$16),ISNUMBER('Usable Acres and Site Cash'!$J$16),ISNUMBER('Assumptions'!$D$67)),(M10*'Usable Acres and Site Cash'!$I$16+'Usable Acres and Site Cash'!$J$16)*'Assumptions'!$D$67,"n.a."),"n.a.")</x:f>
        <x:v>8100</x:v>
      </x:c>
      <x:c r="N15" s="51" t="n">
        <x:f>IF(AND('Usable Acres and Site Cash'!N17="OK"),IF(AND(ISNUMBER(N10),ISNUMBER('Usable Acres and Site Cash'!$I$17),ISNUMBER('Usable Acres and Site Cash'!$J$17),ISNUMBER('Assumptions'!$D$67)),(N10*'Usable Acres and Site Cash'!$I$17+'Usable Acres and Site Cash'!$J$17)*'Assumptions'!$D$67,"n.a."),"n.a.")</x:f>
        <x:v>8100</x:v>
      </x:c>
      <x:c r="O15" s="51" t="n">
        <x:f>IF(AND('Usable Acres and Site Cash'!N18="OK"),IF(AND(ISNUMBER(O10),ISNUMBER('Usable Acres and Site Cash'!$I$18),ISNUMBER('Usable Acres and Site Cash'!$J$18),ISNUMBER('Assumptions'!$D$67)),(O10*'Usable Acres and Site Cash'!$I$18+'Usable Acres and Site Cash'!$J$18)*'Assumptions'!$D$67,"n.a."),"n.a.")</x:f>
        <x:v>8100</x:v>
      </x:c>
      <x:c r="P15" s="51" t="n">
        <x:f>IF(AND('Usable Acres and Site Cash'!N19="OK"),IF(AND(ISNUMBER(P10),ISNUMBER('Usable Acres and Site Cash'!$I$19),ISNUMBER('Usable Acres and Site Cash'!$J$19),ISNUMBER('Assumptions'!$D$67)),(P10*'Usable Acres and Site Cash'!$I$19+'Usable Acres and Site Cash'!$J$19)*'Assumptions'!$D$67,"n.a."),"n.a.")</x:f>
        <x:v>8100</x:v>
      </x:c>
      <x:c r="Q15" s="51" t="n">
        <x:f>IF(AND('Usable Acres and Site Cash'!N20="OK"),IF(AND(ISNUMBER(Q10),ISNUMBER('Usable Acres and Site Cash'!$I$20),ISNUMBER('Usable Acres and Site Cash'!$J$20),ISNUMBER('Assumptions'!$D$67)),(Q10*'Usable Acres and Site Cash'!$I$20+'Usable Acres and Site Cash'!$J$20)*'Assumptions'!$D$67,"n.a."),"n.a.")</x:f>
        <x:v>8100</x:v>
      </x:c>
      <x:c r="R15" s="51" t="n">
        <x:f>IF(AND('Usable Acres and Site Cash'!N21="OK"),IF(AND(ISNUMBER(R10),ISNUMBER('Usable Acres and Site Cash'!$I$21),ISNUMBER('Usable Acres and Site Cash'!$J$21),ISNUMBER('Assumptions'!$D$67)),(R10*'Usable Acres and Site Cash'!$I$21+'Usable Acres and Site Cash'!$J$21)*'Assumptions'!$D$67,"n.a."),"n.a.")</x:f>
        <x:v>8100</x:v>
      </x:c>
    </x:row>
    <x:row r="16" ht="21" customHeight="1">
      <x:c r="A16" s="2"/>
      <x:c r="B16" s="2"/>
      <x:c r="C16" s="2" t="str">
        <x:v>Drainage, surface and site capital</x:v>
      </x:c>
      <x:c r="D16" s="2" t="str">
        <x:v>USD</x:v>
      </x:c>
      <x:c r="E16" s="52" t="n">
        <x:f>IF(COUNT(G16:R16)=12,SUM(G16:R16),"n.a.")</x:f>
        <x:v>204000</x:v>
      </x:c>
      <x:c r="F16" s="2"/>
      <x:c r="G16" s="51" t="n">
        <x:f>IF(AND('Usable Acres and Site Cash'!N10="OK"),IF(AND(ISNUMBER('Usable Acres and Site Cash'!$K$10),ISNUMBER('Assumptions'!$D$70)),'Usable Acres and Site Cash'!$K$10*'Assumptions'!$D$70,"n.a."),"n.a.")</x:f>
        <x:v>4000</x:v>
      </x:c>
      <x:c r="H16" s="51" t="n">
        <x:f>IF(AND('Usable Acres and Site Cash'!N11="OK"),IF(AND(ISNUMBER('Usable Acres and Site Cash'!$K$11),ISNUMBER('Assumptions'!$D$70)),'Usable Acres and Site Cash'!$K$11*'Assumptions'!$D$70,"n.a."),"n.a.")</x:f>
        <x:v>4000</x:v>
      </x:c>
      <x:c r="I16" s="51" t="n">
        <x:f>IF(AND('Usable Acres and Site Cash'!N12="OK"),IF(AND(ISNUMBER('Usable Acres and Site Cash'!$K$12),ISNUMBER('Assumptions'!$D$70)),'Usable Acres and Site Cash'!$K$12*'Assumptions'!$D$70,"n.a."),"n.a.")</x:f>
        <x:v>4000</x:v>
      </x:c>
      <x:c r="J16" s="51" t="n">
        <x:f>IF(AND('Usable Acres and Site Cash'!N13="OK"),IF(AND(ISNUMBER('Usable Acres and Site Cash'!$K$13),ISNUMBER('Assumptions'!$D$70)),'Usable Acres and Site Cash'!$K$13*'Assumptions'!$D$70,"n.a."),"n.a.")</x:f>
        <x:v>160000</x:v>
      </x:c>
      <x:c r="K16" s="51" t="n">
        <x:f>IF(AND('Usable Acres and Site Cash'!N14="OK"),IF(AND(ISNUMBER('Usable Acres and Site Cash'!$K$14),ISNUMBER('Assumptions'!$D$70)),'Usable Acres and Site Cash'!$K$14*'Assumptions'!$D$70,"n.a."),"n.a.")</x:f>
        <x:v>4000</x:v>
      </x:c>
      <x:c r="L16" s="51" t="n">
        <x:f>IF(AND('Usable Acres and Site Cash'!N15="OK"),IF(AND(ISNUMBER('Usable Acres and Site Cash'!$K$15),ISNUMBER('Assumptions'!$D$70)),'Usable Acres and Site Cash'!$K$15*'Assumptions'!$D$70,"n.a."),"n.a.")</x:f>
        <x:v>4000</x:v>
      </x:c>
      <x:c r="M16" s="51" t="n">
        <x:f>IF(AND('Usable Acres and Site Cash'!N16="OK"),IF(AND(ISNUMBER('Usable Acres and Site Cash'!$K$16),ISNUMBER('Assumptions'!$D$70)),'Usable Acres and Site Cash'!$K$16*'Assumptions'!$D$70,"n.a."),"n.a.")</x:f>
        <x:v>4000</x:v>
      </x:c>
      <x:c r="N16" s="51" t="n">
        <x:f>IF(AND('Usable Acres and Site Cash'!N17="OK"),IF(AND(ISNUMBER('Usable Acres and Site Cash'!$K$17),ISNUMBER('Assumptions'!$D$70)),'Usable Acres and Site Cash'!$K$17*'Assumptions'!$D$70,"n.a."),"n.a.")</x:f>
        <x:v>4000</x:v>
      </x:c>
      <x:c r="O16" s="51" t="n">
        <x:f>IF(AND('Usable Acres and Site Cash'!N18="OK"),IF(AND(ISNUMBER('Usable Acres and Site Cash'!$K$18),ISNUMBER('Assumptions'!$D$70)),'Usable Acres and Site Cash'!$K$18*'Assumptions'!$D$70,"n.a."),"n.a.")</x:f>
        <x:v>4000</x:v>
      </x:c>
      <x:c r="P16" s="51" t="n">
        <x:f>IF(AND('Usable Acres and Site Cash'!N19="OK"),IF(AND(ISNUMBER('Usable Acres and Site Cash'!$K$19),ISNUMBER('Assumptions'!$D$70)),'Usable Acres and Site Cash'!$K$19*'Assumptions'!$D$70,"n.a."),"n.a.")</x:f>
        <x:v>4000</x:v>
      </x:c>
      <x:c r="Q16" s="51" t="n">
        <x:f>IF(AND('Usable Acres and Site Cash'!N20="OK"),IF(AND(ISNUMBER('Usable Acres and Site Cash'!$K$20),ISNUMBER('Assumptions'!$D$70)),'Usable Acres and Site Cash'!$K$20*'Assumptions'!$D$70,"n.a."),"n.a.")</x:f>
        <x:v>4000</x:v>
      </x:c>
      <x:c r="R16" s="51" t="n">
        <x:f>IF(AND('Usable Acres and Site Cash'!N21="OK"),IF(AND(ISNUMBER('Usable Acres and Site Cash'!$K$21),ISNUMBER('Assumptions'!$D$70)),'Usable Acres and Site Cash'!$K$21*'Assumptions'!$D$70,"n.a."),"n.a.")</x:f>
        <x:v>4000</x:v>
      </x:c>
    </x:row>
    <x:row r="17" ht="21" customHeight="1">
      <x:c r="A17" s="2"/>
      <x:c r="B17" s="2"/>
      <x:c r="C17" s="2" t="str">
        <x:v>Fixed property / entity costs</x:v>
      </x:c>
      <x:c r="D17" s="2" t="str">
        <x:v>USD</x:v>
      </x:c>
      <x:c r="E17" s="52" t="n">
        <x:f>IF(COUNT(G17:R17)=12,SUM(G17:R17),"n.a.")</x:f>
        <x:v>95000.00000000001</x:v>
      </x:c>
      <x:c r="F17" s="2"/>
      <x:c r="G17" s="51" t="n">
        <x:f>IF(AND(ISNUMBER('Assumptions'!$D$55)),'Assumptions'!$D$55/12,"n.a.")</x:f>
        <x:v>7916.666666666667</x:v>
      </x:c>
      <x:c r="H17" s="51" t="n">
        <x:f>IF(AND(ISNUMBER('Assumptions'!$D$55)),'Assumptions'!$D$55/12,"n.a.")</x:f>
        <x:v>7916.666666666667</x:v>
      </x:c>
      <x:c r="I17" s="51" t="n">
        <x:f>IF(AND(ISNUMBER('Assumptions'!$D$55)),'Assumptions'!$D$55/12,"n.a.")</x:f>
        <x:v>7916.666666666667</x:v>
      </x:c>
      <x:c r="J17" s="51" t="n">
        <x:f>IF(AND(ISNUMBER('Assumptions'!$D$55)),'Assumptions'!$D$55/12,"n.a.")</x:f>
        <x:v>7916.666666666667</x:v>
      </x:c>
      <x:c r="K17" s="51" t="n">
        <x:f>IF(AND(ISNUMBER('Assumptions'!$D$55)),'Assumptions'!$D$55/12,"n.a.")</x:f>
        <x:v>7916.666666666667</x:v>
      </x:c>
      <x:c r="L17" s="51" t="n">
        <x:f>IF(AND(ISNUMBER('Assumptions'!$D$55)),'Assumptions'!$D$55/12,"n.a.")</x:f>
        <x:v>7916.666666666667</x:v>
      </x:c>
      <x:c r="M17" s="51" t="n">
        <x:f>IF(AND(ISNUMBER('Assumptions'!$D$55)),'Assumptions'!$D$55/12,"n.a.")</x:f>
        <x:v>7916.666666666667</x:v>
      </x:c>
      <x:c r="N17" s="51" t="n">
        <x:f>IF(AND(ISNUMBER('Assumptions'!$D$55)),'Assumptions'!$D$55/12,"n.a.")</x:f>
        <x:v>7916.666666666667</x:v>
      </x:c>
      <x:c r="O17" s="51" t="n">
        <x:f>IF(AND(ISNUMBER('Assumptions'!$D$55)),'Assumptions'!$D$55/12,"n.a.")</x:f>
        <x:v>7916.666666666667</x:v>
      </x:c>
      <x:c r="P17" s="51" t="n">
        <x:f>IF(AND(ISNUMBER('Assumptions'!$D$55)),'Assumptions'!$D$55/12,"n.a.")</x:f>
        <x:v>7916.666666666667</x:v>
      </x:c>
      <x:c r="Q17" s="51" t="n">
        <x:f>IF(AND(ISNUMBER('Assumptions'!$D$55)),'Assumptions'!$D$55/12,"n.a.")</x:f>
        <x:v>7916.666666666667</x:v>
      </x:c>
      <x:c r="R17" s="51" t="n">
        <x:f>IF(AND(ISNUMBER('Assumptions'!$D$55)),'Assumptions'!$D$55/12,"n.a.")</x:f>
        <x:v>7916.666666666667</x:v>
      </x:c>
    </x:row>
    <x:row r="18" ht="21" customHeight="1">
      <x:c r="A18" s="2"/>
      <x:c r="B18" s="2"/>
      <x:c r="C18" s="58" t="str">
        <x:v>Total cash operating costs</x:v>
      </x:c>
      <x:c r="D18" s="58" t="str">
        <x:v>USD</x:v>
      </x:c>
      <x:c r="E18" s="59" t="n">
        <x:f>IF(COUNT(G18:R18)=12,SUM(G18:R18),"n.a.")</x:f>
        <x:v>192200</x:v>
      </x:c>
      <x:c r="F18" s="58"/>
      <x:c r="G18" s="59" t="n">
        <x:f>IF(AND(ISNUMBER(G15),ISNUMBER(G17)),G15+G17,"n.a.")</x:f>
        <x:v>16016.666666666668</x:v>
      </x:c>
      <x:c r="H18" s="59" t="n">
        <x:f>IF(AND(ISNUMBER(H15),ISNUMBER(H17)),H15+H17,"n.a.")</x:f>
        <x:v>16016.666666666668</x:v>
      </x:c>
      <x:c r="I18" s="59" t="n">
        <x:f>IF(AND(ISNUMBER(I15),ISNUMBER(I17)),I15+I17,"n.a.")</x:f>
        <x:v>16016.666666666668</x:v>
      </x:c>
      <x:c r="J18" s="59" t="n">
        <x:f>IF(AND(ISNUMBER(J15),ISNUMBER(J17)),J15+J17,"n.a.")</x:f>
        <x:v>16016.666666666668</x:v>
      </x:c>
      <x:c r="K18" s="59" t="n">
        <x:f>IF(AND(ISNUMBER(K15),ISNUMBER(K17)),K15+K17,"n.a.")</x:f>
        <x:v>16016.666666666668</x:v>
      </x:c>
      <x:c r="L18" s="59" t="n">
        <x:f>IF(AND(ISNUMBER(L15),ISNUMBER(L17)),L15+L17,"n.a.")</x:f>
        <x:v>16016.666666666668</x:v>
      </x:c>
      <x:c r="M18" s="59" t="n">
        <x:f>IF(AND(ISNUMBER(M15),ISNUMBER(M17)),M15+M17,"n.a.")</x:f>
        <x:v>16016.666666666668</x:v>
      </x:c>
      <x:c r="N18" s="59" t="n">
        <x:f>IF(AND(ISNUMBER(N15),ISNUMBER(N17)),N15+N17,"n.a.")</x:f>
        <x:v>16016.666666666668</x:v>
      </x:c>
      <x:c r="O18" s="59" t="n">
        <x:f>IF(AND(ISNUMBER(O15),ISNUMBER(O17)),O15+O17,"n.a.")</x:f>
        <x:v>16016.666666666668</x:v>
      </x:c>
      <x:c r="P18" s="59" t="n">
        <x:f>IF(AND(ISNUMBER(P15),ISNUMBER(P17)),P15+P17,"n.a.")</x:f>
        <x:v>16016.666666666668</x:v>
      </x:c>
      <x:c r="Q18" s="59" t="n">
        <x:f>IF(AND(ISNUMBER(Q15),ISNUMBER(Q17)),Q15+Q17,"n.a.")</x:f>
        <x:v>16016.666666666668</x:v>
      </x:c>
      <x:c r="R18" s="59" t="n">
        <x:f>IF(AND(ISNUMBER(R15),ISNUMBER(R17)),R15+R17,"n.a.")</x:f>
        <x:v>16016.666666666668</x:v>
      </x:c>
    </x:row>
    <x:row r="19" ht="21" customHeight="1">
      <x:c r="A19" s="2"/>
      <x:c r="B19" s="2"/>
      <x:c r="C19" s="58" t="str">
        <x:v>NOI / operating cash before reserves</x:v>
      </x:c>
      <x:c r="D19" s="58" t="str">
        <x:v>USD</x:v>
      </x:c>
      <x:c r="E19" s="59" t="n">
        <x:f>IF(COUNT(G19:R19)=12,SUM(G19:R19),"n.a.")</x:f>
        <x:v>464439.9999999998</x:v>
      </x:c>
      <x:c r="F19" s="58"/>
      <x:c r="G19" s="59" t="n">
        <x:f>IF(AND(ISNUMBER(G14),ISNUMBER(G18)),G14-G18,"n.a.")</x:f>
        <x:v>38703.33333333333</x:v>
      </x:c>
      <x:c r="H19" s="59" t="n">
        <x:f>IF(AND(ISNUMBER(H14),ISNUMBER(H18)),H14-H18,"n.a.")</x:f>
        <x:v>38703.33333333333</x:v>
      </x:c>
      <x:c r="I19" s="59" t="n">
        <x:f>IF(AND(ISNUMBER(I14),ISNUMBER(I18)),I14-I18,"n.a.")</x:f>
        <x:v>38703.33333333333</x:v>
      </x:c>
      <x:c r="J19" s="59" t="n">
        <x:f>IF(AND(ISNUMBER(J14),ISNUMBER(J18)),J14-J18,"n.a.")</x:f>
        <x:v>38703.33333333333</x:v>
      </x:c>
      <x:c r="K19" s="59" t="n">
        <x:f>IF(AND(ISNUMBER(K14),ISNUMBER(K18)),K14-K18,"n.a.")</x:f>
        <x:v>38703.33333333333</x:v>
      </x:c>
      <x:c r="L19" s="59" t="n">
        <x:f>IF(AND(ISNUMBER(L14),ISNUMBER(L18)),L14-L18,"n.a.")</x:f>
        <x:v>38703.33333333333</x:v>
      </x:c>
      <x:c r="M19" s="59" t="n">
        <x:f>IF(AND(ISNUMBER(M14),ISNUMBER(M18)),M14-M18,"n.a.")</x:f>
        <x:v>38703.33333333333</x:v>
      </x:c>
      <x:c r="N19" s="59" t="n">
        <x:f>IF(AND(ISNUMBER(N14),ISNUMBER(N18)),N14-N18,"n.a.")</x:f>
        <x:v>38703.33333333333</x:v>
      </x:c>
      <x:c r="O19" s="59" t="n">
        <x:f>IF(AND(ISNUMBER(O14),ISNUMBER(O18)),O14-O18,"n.a.")</x:f>
        <x:v>38703.33333333333</x:v>
      </x:c>
      <x:c r="P19" s="59" t="n">
        <x:f>IF(AND(ISNUMBER(P14),ISNUMBER(P18)),P14-P18,"n.a.")</x:f>
        <x:v>38703.33333333333</x:v>
      </x:c>
      <x:c r="Q19" s="59" t="n">
        <x:f>IF(AND(ISNUMBER(Q14),ISNUMBER(Q18)),Q14-Q18,"n.a.")</x:f>
        <x:v>38703.33333333333</x:v>
      </x:c>
      <x:c r="R19" s="59" t="n">
        <x:f>IF(AND(ISNUMBER(R14),ISNUMBER(R18)),R14-R18,"n.a.")</x:f>
        <x:v>38703.33333333333</x:v>
      </x:c>
    </x:row>
    <x:row r="20" ht="21" customHeight="1">
      <x:c r="A20" s="2"/>
      <x:c r="B20" s="2"/>
      <x:c r="C20" s="2" t="str">
        <x:v>Cash replacement reserve deposits</x:v>
      </x:c>
      <x:c r="D20" s="2" t="str">
        <x:v>USD</x:v>
      </x:c>
      <x:c r="E20" s="52" t="n">
        <x:f>IF(COUNT(G20:R20)=12,SUM(G20:R20),"n.a.")</x:f>
        <x:v>19699.199999999997</x:v>
      </x:c>
      <x:c r="F20" s="2"/>
      <x:c r="G20" s="51" t="n">
        <x:f>IF(AND(ISNUMBER(G14),ISNUMBER('Assumptions'!$D$58)),MAX(0,G14)*'Assumptions'!$D$58,"n.a.")</x:f>
        <x:v>1641.6</x:v>
      </x:c>
      <x:c r="H20" s="51" t="n">
        <x:f>IF(AND(ISNUMBER(H14),ISNUMBER('Assumptions'!$D$58)),MAX(0,H14)*'Assumptions'!$D$58,"n.a.")</x:f>
        <x:v>1641.6</x:v>
      </x:c>
      <x:c r="I20" s="51" t="n">
        <x:f>IF(AND(ISNUMBER(I14),ISNUMBER('Assumptions'!$D$58)),MAX(0,I14)*'Assumptions'!$D$58,"n.a.")</x:f>
        <x:v>1641.6</x:v>
      </x:c>
      <x:c r="J20" s="51" t="n">
        <x:f>IF(AND(ISNUMBER(J14),ISNUMBER('Assumptions'!$D$58)),MAX(0,J14)*'Assumptions'!$D$58,"n.a.")</x:f>
        <x:v>1641.6</x:v>
      </x:c>
      <x:c r="K20" s="51" t="n">
        <x:f>IF(AND(ISNUMBER(K14),ISNUMBER('Assumptions'!$D$58)),MAX(0,K14)*'Assumptions'!$D$58,"n.a.")</x:f>
        <x:v>1641.6</x:v>
      </x:c>
      <x:c r="L20" s="51" t="n">
        <x:f>IF(AND(ISNUMBER(L14),ISNUMBER('Assumptions'!$D$58)),MAX(0,L14)*'Assumptions'!$D$58,"n.a.")</x:f>
        <x:v>1641.6</x:v>
      </x:c>
      <x:c r="M20" s="51" t="n">
        <x:f>IF(AND(ISNUMBER(M14),ISNUMBER('Assumptions'!$D$58)),MAX(0,M14)*'Assumptions'!$D$58,"n.a.")</x:f>
        <x:v>1641.6</x:v>
      </x:c>
      <x:c r="N20" s="51" t="n">
        <x:f>IF(AND(ISNUMBER(N14),ISNUMBER('Assumptions'!$D$58)),MAX(0,N14)*'Assumptions'!$D$58,"n.a.")</x:f>
        <x:v>1641.6</x:v>
      </x:c>
      <x:c r="O20" s="51" t="n">
        <x:f>IF(AND(ISNUMBER(O14),ISNUMBER('Assumptions'!$D$58)),MAX(0,O14)*'Assumptions'!$D$58,"n.a.")</x:f>
        <x:v>1641.6</x:v>
      </x:c>
      <x:c r="P20" s="51" t="n">
        <x:f>IF(AND(ISNUMBER(P14),ISNUMBER('Assumptions'!$D$58)),MAX(0,P14)*'Assumptions'!$D$58,"n.a.")</x:f>
        <x:v>1641.6</x:v>
      </x:c>
      <x:c r="Q20" s="51" t="n">
        <x:f>IF(AND(ISNUMBER(Q14),ISNUMBER('Assumptions'!$D$58)),MAX(0,Q14)*'Assumptions'!$D$58,"n.a.")</x:f>
        <x:v>1641.6</x:v>
      </x:c>
      <x:c r="R20" s="51" t="n">
        <x:f>IF(AND(ISNUMBER(R14),ISNUMBER('Assumptions'!$D$58)),MAX(0,R14)*'Assumptions'!$D$58,"n.a.")</x:f>
        <x:v>1641.6</x:v>
      </x:c>
    </x:row>
    <x:row r="21" ht="21" customHeight="1">
      <x:c r="A21" s="2"/>
      <x:c r="B21" s="2"/>
      <x:c r="C21" s="58" t="str">
        <x:v>Cash NCF before property debt / capital</x:v>
      </x:c>
      <x:c r="D21" s="58" t="str">
        <x:v>USD</x:v>
      </x:c>
      <x:c r="E21" s="59" t="n">
        <x:f>IF(COUNT(G21:R21)=12,SUM(G21:R21),"n.a.")</x:f>
        <x:v>444740.8</x:v>
      </x:c>
      <x:c r="F21" s="58"/>
      <x:c r="G21" s="59" t="n">
        <x:f>IF(AND(ISNUMBER(G19),ISNUMBER(G20)),G19-G20,"n.a.")</x:f>
        <x:v>37061.73333333333</x:v>
      </x:c>
      <x:c r="H21" s="59" t="n">
        <x:f>IF(AND(ISNUMBER(H19),ISNUMBER(H20)),H19-H20,"n.a.")</x:f>
        <x:v>37061.73333333333</x:v>
      </x:c>
      <x:c r="I21" s="59" t="n">
        <x:f>IF(AND(ISNUMBER(I19),ISNUMBER(I20)),I19-I20,"n.a.")</x:f>
        <x:v>37061.73333333333</x:v>
      </x:c>
      <x:c r="J21" s="59" t="n">
        <x:f>IF(AND(ISNUMBER(J19),ISNUMBER(J20)),J19-J20,"n.a.")</x:f>
        <x:v>37061.73333333333</x:v>
      </x:c>
      <x:c r="K21" s="59" t="n">
        <x:f>IF(AND(ISNUMBER(K19),ISNUMBER(K20)),K19-K20,"n.a.")</x:f>
        <x:v>37061.73333333333</x:v>
      </x:c>
      <x:c r="L21" s="59" t="n">
        <x:f>IF(AND(ISNUMBER(L19),ISNUMBER(L20)),L19-L20,"n.a.")</x:f>
        <x:v>37061.73333333333</x:v>
      </x:c>
      <x:c r="M21" s="59" t="n">
        <x:f>IF(AND(ISNUMBER(M19),ISNUMBER(M20)),M19-M20,"n.a.")</x:f>
        <x:v>37061.73333333333</x:v>
      </x:c>
      <x:c r="N21" s="59" t="n">
        <x:f>IF(AND(ISNUMBER(N19),ISNUMBER(N20)),N19-N20,"n.a.")</x:f>
        <x:v>37061.73333333333</x:v>
      </x:c>
      <x:c r="O21" s="59" t="n">
        <x:f>IF(AND(ISNUMBER(O19),ISNUMBER(O20)),O19-O20,"n.a.")</x:f>
        <x:v>37061.73333333333</x:v>
      </x:c>
      <x:c r="P21" s="59" t="n">
        <x:f>IF(AND(ISNUMBER(P19),ISNUMBER(P20)),P19-P20,"n.a.")</x:f>
        <x:v>37061.73333333333</x:v>
      </x:c>
      <x:c r="Q21" s="59" t="n">
        <x:f>IF(AND(ISNUMBER(Q19),ISNUMBER(Q20)),Q19-Q20,"n.a.")</x:f>
        <x:v>37061.73333333333</x:v>
      </x:c>
      <x:c r="R21" s="59" t="n">
        <x:f>IF(AND(ISNUMBER(R19),ISNUMBER(R20)),R19-R20,"n.a.")</x:f>
        <x:v>37061.73333333333</x:v>
      </x:c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IF(AND(ISNUMBER('Operations'!E21),ISNUMBER('Assumptions'!$D$52)),'Operations'!E21+'Assumptions'!$D$52,"n.a.")</x:f>
        <x:v>444740.8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62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4391154.058184106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4941564.444444445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3600000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Requested ceiling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24307.4578085151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2300000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700000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3299379.4982533795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3" t="n">
        <x:f>IF(AND(ISNUMBER(D14)),D14,"n.a.")</x:f>
        <x:v>3600000</x:v>
      </x:c>
      <x:c r="H29" s="63" t="n">
        <x:f>IF(AND(ISNUMBER(G33)),G33,"n.a.")</x:f>
        <x:v>3600000</x:v>
      </x:c>
      <x:c r="I29" s="63" t="n">
        <x:f>IF(AND(ISNUMBER(H33)),H33,"n.a.")</x:f>
        <x:v>3600000</x:v>
      </x:c>
      <x:c r="J29" s="63" t="n">
        <x:f>IF(AND(ISNUMBER(I33)),I33,"n.a.")</x:f>
        <x:v>3600000</x:v>
      </x:c>
      <x:c r="K29" s="63" t="n">
        <x:f>IF(AND(ISNUMBER(J33)),J33,"n.a.")</x:f>
        <x:v>3600000</x:v>
      </x:c>
      <x:c r="L29" s="63" t="n">
        <x:f>IF(AND(ISNUMBER(K33)),K33,"n.a.")</x:f>
        <x:v>3600000</x:v>
      </x:c>
      <x:c r="M29" s="63" t="n">
        <x:f>IF(AND(ISNUMBER(L33)),L33,"n.a.")</x:f>
        <x:v>3600000</x:v>
      </x:c>
      <x:c r="N29" s="63" t="n">
        <x:f>IF(AND(ISNUMBER(M33)),M33,"n.a.")</x:f>
        <x:v>3595192.542191485</x:v>
      </x:c>
      <x:c r="O29" s="63" t="n">
        <x:f>IF(AND(ISNUMBER(N33)),N33,"n.a.")</x:f>
        <x:v>3590359.043986507</x:v>
      </x:c>
      <x:c r="P29" s="63" t="n">
        <x:f>IF(AND(ISNUMBER(O33)),O33,"n.a.")</x:f>
        <x:v>3585499.364332919</x:v>
      </x:c>
      <x:c r="Q29" s="63" t="n">
        <x:f>IF(AND(ISNUMBER(P33)),P33,"n.a.")</x:f>
        <x:v>3580613.3614145406</x:v>
      </x:c>
      <x:c r="R29" s="63" t="n">
        <x:f>IF(AND(ISNUMBER(Q33)),Q33,"n.a.")</x:f>
        <x:v>3575700.892647021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4" t="n">
        <x:f>IF(AND(ISNUMBER(G29),ISNUMBER('Assumptions'!$D$31)),G29*'Assumptions'!$D$31/12,"n.a.")</x:f>
        <x:v>19500</x:v>
      </x:c>
      <x:c r="H30" s="64" t="n">
        <x:f>IF(AND(ISNUMBER(H29),ISNUMBER('Assumptions'!$D$31)),H29*'Assumptions'!$D$31/12,"n.a.")</x:f>
        <x:v>19500</x:v>
      </x:c>
      <x:c r="I30" s="64" t="n">
        <x:f>IF(AND(ISNUMBER(I29),ISNUMBER('Assumptions'!$D$31)),I29*'Assumptions'!$D$31/12,"n.a.")</x:f>
        <x:v>19500</x:v>
      </x:c>
      <x:c r="J30" s="64" t="n">
        <x:f>IF(AND(ISNUMBER(J29),ISNUMBER('Assumptions'!$D$31)),J29*'Assumptions'!$D$31/12,"n.a.")</x:f>
        <x:v>19500</x:v>
      </x:c>
      <x:c r="K30" s="64" t="n">
        <x:f>IF(AND(ISNUMBER(K29),ISNUMBER('Assumptions'!$D$31)),K29*'Assumptions'!$D$31/12,"n.a.")</x:f>
        <x:v>19500</x:v>
      </x:c>
      <x:c r="L30" s="64" t="n">
        <x:f>IF(AND(ISNUMBER(L29),ISNUMBER('Assumptions'!$D$31)),L29*'Assumptions'!$D$31/12,"n.a.")</x:f>
        <x:v>19500</x:v>
      </x:c>
      <x:c r="M30" s="64" t="n">
        <x:f>IF(AND(ISNUMBER(M29),ISNUMBER('Assumptions'!$D$31)),M29*'Assumptions'!$D$31/12,"n.a.")</x:f>
        <x:v>19500</x:v>
      </x:c>
      <x:c r="N30" s="64" t="n">
        <x:f>IF(AND(ISNUMBER(N29),ISNUMBER('Assumptions'!$D$31)),N29*'Assumptions'!$D$31/12,"n.a.")</x:f>
        <x:v>19473.959603537212</x:v>
      </x:c>
      <x:c r="O30" s="64" t="n">
        <x:f>IF(AND(ISNUMBER(O29),ISNUMBER('Assumptions'!$D$31)),O29*'Assumptions'!$D$31/12,"n.a.")</x:f>
        <x:v>19447.778154926917</x:v>
      </x:c>
      <x:c r="P30" s="64" t="n">
        <x:f>IF(AND(ISNUMBER(P29),ISNUMBER('Assumptions'!$D$31)),P29*'Assumptions'!$D$31/12,"n.a.")</x:f>
        <x:v>19421.454890136647</x:v>
      </x:c>
      <x:c r="Q30" s="64" t="n">
        <x:f>IF(AND(ISNUMBER(Q29),ISNUMBER('Assumptions'!$D$31)),Q29*'Assumptions'!$D$31/12,"n.a.")</x:f>
        <x:v>19394.989040995428</x:v>
      </x:c>
      <x:c r="R30" s="64" t="n">
        <x:f>IF(AND(ISNUMBER(R29),ISNUMBER('Assumptions'!$D$31)),R29*'Assumptions'!$D$31/12,"n.a.")</x:f>
        <x:v>19368.379835171367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4" t="n">
        <x:f>IF(AND(ISNUMBER('Assumptions'!$D$37),ISNUMBER(G30),ISNUMBER(G29),ISNUMBER(D16)),IF(1&lt;='Assumptions'!$D$37,G30,MIN(G29+G30,D16)),"n.a.")</x:f>
        <x:v>19500</x:v>
      </x:c>
      <x:c r="H31" s="64" t="n">
        <x:f>IF(AND(ISNUMBER('Assumptions'!$D$37),ISNUMBER(H30),ISNUMBER(H29),ISNUMBER(D16)),IF(2&lt;='Assumptions'!$D$37,H30,MIN(H29+H30,D16)),"n.a.")</x:f>
        <x:v>19500</x:v>
      </x:c>
      <x:c r="I31" s="64" t="n">
        <x:f>IF(AND(ISNUMBER('Assumptions'!$D$37),ISNUMBER(I30),ISNUMBER(I29),ISNUMBER(D16)),IF(3&lt;='Assumptions'!$D$37,I30,MIN(I29+I30,D16)),"n.a.")</x:f>
        <x:v>19500</x:v>
      </x:c>
      <x:c r="J31" s="64" t="n">
        <x:f>IF(AND(ISNUMBER('Assumptions'!$D$37),ISNUMBER(J30),ISNUMBER(J29),ISNUMBER(D16)),IF(4&lt;='Assumptions'!$D$37,J30,MIN(J29+J30,D16)),"n.a.")</x:f>
        <x:v>19500</x:v>
      </x:c>
      <x:c r="K31" s="64" t="n">
        <x:f>IF(AND(ISNUMBER('Assumptions'!$D$37),ISNUMBER(K30),ISNUMBER(K29),ISNUMBER(D16)),IF(5&lt;='Assumptions'!$D$37,K30,MIN(K29+K30,D16)),"n.a.")</x:f>
        <x:v>19500</x:v>
      </x:c>
      <x:c r="L31" s="64" t="n">
        <x:f>IF(AND(ISNUMBER('Assumptions'!$D$37),ISNUMBER(L30),ISNUMBER(L29),ISNUMBER(D16)),IF(6&lt;='Assumptions'!$D$37,L30,MIN(L29+L30,D16)),"n.a.")</x:f>
        <x:v>19500</x:v>
      </x:c>
      <x:c r="M31" s="64" t="n">
        <x:f>IF(AND(ISNUMBER('Assumptions'!$D$37),ISNUMBER(M30),ISNUMBER(M29),ISNUMBER(D16)),IF(7&lt;='Assumptions'!$D$37,M30,MIN(M29+M30,D16)),"n.a.")</x:f>
        <x:v>24307.4578085151</x:v>
      </x:c>
      <x:c r="N31" s="64" t="n">
        <x:f>IF(AND(ISNUMBER('Assumptions'!$D$37),ISNUMBER(N30),ISNUMBER(N29),ISNUMBER(D16)),IF(8&lt;='Assumptions'!$D$37,N30,MIN(N29+N30,D16)),"n.a.")</x:f>
        <x:v>24307.4578085151</x:v>
      </x:c>
      <x:c r="O31" s="64" t="n">
        <x:f>IF(AND(ISNUMBER('Assumptions'!$D$37),ISNUMBER(O30),ISNUMBER(O29),ISNUMBER(D16)),IF(9&lt;='Assumptions'!$D$37,O30,MIN(O29+O30,D16)),"n.a.")</x:f>
        <x:v>24307.4578085151</x:v>
      </x:c>
      <x:c r="P31" s="64" t="n">
        <x:f>IF(AND(ISNUMBER('Assumptions'!$D$37),ISNUMBER(P30),ISNUMBER(P29),ISNUMBER(D16)),IF(10&lt;='Assumptions'!$D$37,P30,MIN(P29+P30,D16)),"n.a.")</x:f>
        <x:v>24307.4578085151</x:v>
      </x:c>
      <x:c r="Q31" s="64" t="n">
        <x:f>IF(AND(ISNUMBER('Assumptions'!$D$37),ISNUMBER(Q30),ISNUMBER(Q29),ISNUMBER(D16)),IF(11&lt;='Assumptions'!$D$37,Q30,MIN(Q29+Q30,D16)),"n.a.")</x:f>
        <x:v>24307.4578085151</x:v>
      </x:c>
      <x:c r="R31" s="64" t="n">
        <x:f>IF(AND(ISNUMBER('Assumptions'!$D$37),ISNUMBER(R30),ISNUMBER(R29),ISNUMBER(D16)),IF(12&lt;='Assumptions'!$D$37,R30,MIN(R29+R30,D16)),"n.a.")</x:f>
        <x:v>24307.4578085151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3" t="n">
        <x:f>IF(AND(ISNUMBER(G31),ISNUMBER(G30)),G31-G30,"n.a.")</x:f>
        <x:v>0</x:v>
      </x:c>
      <x:c r="H32" s="63" t="n">
        <x:f>IF(AND(ISNUMBER(H31),ISNUMBER(H30)),H31-H30,"n.a.")</x:f>
        <x:v>0</x:v>
      </x:c>
      <x:c r="I32" s="63" t="n">
        <x:f>IF(AND(ISNUMBER(I31),ISNUMBER(I30)),I31-I30,"n.a.")</x:f>
        <x:v>0</x:v>
      </x:c>
      <x:c r="J32" s="63" t="n">
        <x:f>IF(AND(ISNUMBER(J31),ISNUMBER(J30)),J31-J30,"n.a.")</x:f>
        <x:v>0</x:v>
      </x:c>
      <x:c r="K32" s="63" t="n">
        <x:f>IF(AND(ISNUMBER(K31),ISNUMBER(K30)),K31-K30,"n.a.")</x:f>
        <x:v>0</x:v>
      </x:c>
      <x:c r="L32" s="63" t="n">
        <x:f>IF(AND(ISNUMBER(L31),ISNUMBER(L30)),L31-L30,"n.a.")</x:f>
        <x:v>0</x:v>
      </x:c>
      <x:c r="M32" s="63" t="n">
        <x:f>IF(AND(ISNUMBER(M31),ISNUMBER(M30)),M31-M30,"n.a.")</x:f>
        <x:v>4807.457808515101</x:v>
      </x:c>
      <x:c r="N32" s="63" t="n">
        <x:f>IF(AND(ISNUMBER(N31),ISNUMBER(N30)),N31-N30,"n.a.")</x:f>
        <x:v>4833.498204977888</x:v>
      </x:c>
      <x:c r="O32" s="63" t="n">
        <x:f>IF(AND(ISNUMBER(O31),ISNUMBER(O30)),O31-O30,"n.a.")</x:f>
        <x:v>4859.679653588184</x:v>
      </x:c>
      <x:c r="P32" s="63" t="n">
        <x:f>IF(AND(ISNUMBER(P31),ISNUMBER(P30)),P31-P30,"n.a.")</x:f>
        <x:v>4886.002918378454</x:v>
      </x:c>
      <x:c r="Q32" s="63" t="n">
        <x:f>IF(AND(ISNUMBER(Q31),ISNUMBER(Q30)),Q31-Q30,"n.a.")</x:f>
        <x:v>4912.468767519673</x:v>
      </x:c>
      <x:c r="R32" s="63" t="n">
        <x:f>IF(AND(ISNUMBER(R31),ISNUMBER(R30)),R31-R30,"n.a.")</x:f>
        <x:v>4939.077973343734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3" t="n">
        <x:f>IF(AND(ISNUMBER(G29),ISNUMBER(G32),ISNUMBER(G38)),G29-G32-G38,"n.a.")</x:f>
        <x:v>3600000</x:v>
      </x:c>
      <x:c r="H33" s="63" t="n">
        <x:f>IF(AND(ISNUMBER(H29),ISNUMBER(H32),ISNUMBER(H38)),H29-H32-H38,"n.a.")</x:f>
        <x:v>3600000</x:v>
      </x:c>
      <x:c r="I33" s="63" t="n">
        <x:f>IF(AND(ISNUMBER(I29),ISNUMBER(I32),ISNUMBER(I38)),I29-I32-I38,"n.a.")</x:f>
        <x:v>3600000</x:v>
      </x:c>
      <x:c r="J33" s="63" t="n">
        <x:f>IF(AND(ISNUMBER(J29),ISNUMBER(J32),ISNUMBER(J38)),J29-J32-J38,"n.a.")</x:f>
        <x:v>3600000</x:v>
      </x:c>
      <x:c r="K33" s="63" t="n">
        <x:f>IF(AND(ISNUMBER(K29),ISNUMBER(K32),ISNUMBER(K38)),K29-K32-K38,"n.a.")</x:f>
        <x:v>3600000</x:v>
      </x:c>
      <x:c r="L33" s="63" t="n">
        <x:f>IF(AND(ISNUMBER(L29),ISNUMBER(L32),ISNUMBER(L38)),L29-L32-L38,"n.a.")</x:f>
        <x:v>3600000</x:v>
      </x:c>
      <x:c r="M33" s="63" t="n">
        <x:f>IF(AND(ISNUMBER(M29),ISNUMBER(M32),ISNUMBER(M38)),M29-M32-M38,"n.a.")</x:f>
        <x:v>3595192.542191485</x:v>
      </x:c>
      <x:c r="N33" s="63" t="n">
        <x:f>IF(AND(ISNUMBER(N29),ISNUMBER(N32),ISNUMBER(N38)),N29-N32-N38,"n.a.")</x:f>
        <x:v>3590359.043986507</x:v>
      </x:c>
      <x:c r="O33" s="63" t="n">
        <x:f>IF(AND(ISNUMBER(O29),ISNUMBER(O32),ISNUMBER(O38)),O29-O32-O38,"n.a.")</x:f>
        <x:v>3585499.364332919</x:v>
      </x:c>
      <x:c r="P33" s="63" t="n">
        <x:f>IF(AND(ISNUMBER(P29),ISNUMBER(P32),ISNUMBER(P38)),P29-P32-P38,"n.a.")</x:f>
        <x:v>3580613.3614145406</x:v>
      </x:c>
      <x:c r="Q33" s="63" t="n">
        <x:f>IF(AND(ISNUMBER(Q29),ISNUMBER(Q32),ISNUMBER(Q38)),Q29-Q32-Q38,"n.a.")</x:f>
        <x:v>3575700.892647021</x:v>
      </x:c>
      <x:c r="R33" s="63" t="n">
        <x:f>IF(AND(ISNUMBER(R29),ISNUMBER(R32),ISNUMBER(R38)),R29-R32-R38,"n.a.")</x:f>
        <x:v>3570761.814673677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4" t="n">
        <x:f>IF(AND(ISNUMBER('Operations'!G21)),'Operations'!G21,"n.a.")</x:f>
        <x:v>37061.73333333333</x:v>
      </x:c>
      <x:c r="H34" s="64" t="n">
        <x:f>IF(AND(ISNUMBER('Operations'!H21)),'Operations'!H21,"n.a.")</x:f>
        <x:v>37061.73333333333</x:v>
      </x:c>
      <x:c r="I34" s="64" t="n">
        <x:f>IF(AND(ISNUMBER('Operations'!I21)),'Operations'!I21,"n.a.")</x:f>
        <x:v>37061.73333333333</x:v>
      </x:c>
      <x:c r="J34" s="64" t="n">
        <x:f>IF(AND(ISNUMBER('Operations'!J21)),'Operations'!J21,"n.a.")</x:f>
        <x:v>37061.73333333333</x:v>
      </x:c>
      <x:c r="K34" s="64" t="n">
        <x:f>IF(AND(ISNUMBER('Operations'!K21)),'Operations'!K21,"n.a.")</x:f>
        <x:v>37061.73333333333</x:v>
      </x:c>
      <x:c r="L34" s="64" t="n">
        <x:f>IF(AND(ISNUMBER('Operations'!L21)),'Operations'!L21,"n.a.")</x:f>
        <x:v>37061.73333333333</x:v>
      </x:c>
      <x:c r="M34" s="64" t="n">
        <x:f>IF(AND(ISNUMBER('Operations'!M21)),'Operations'!M21,"n.a.")</x:f>
        <x:v>37061.73333333333</x:v>
      </x:c>
      <x:c r="N34" s="64" t="n">
        <x:f>IF(AND(ISNUMBER('Operations'!N21)),'Operations'!N21,"n.a.")</x:f>
        <x:v>37061.73333333333</x:v>
      </x:c>
      <x:c r="O34" s="64" t="n">
        <x:f>IF(AND(ISNUMBER('Operations'!O21)),'Operations'!O21,"n.a.")</x:f>
        <x:v>37061.73333333333</x:v>
      </x:c>
      <x:c r="P34" s="64" t="n">
        <x:f>IF(AND(ISNUMBER('Operations'!P21)),'Operations'!P21,"n.a.")</x:f>
        <x:v>37061.73333333333</x:v>
      </x:c>
      <x:c r="Q34" s="64" t="n">
        <x:f>IF(AND(ISNUMBER('Operations'!Q21)),'Operations'!Q21,"n.a.")</x:f>
        <x:v>37061.73333333333</x:v>
      </x:c>
      <x:c r="R34" s="64" t="n">
        <x:f>IF(AND(ISNUMBER('Operations'!R21)),'Operations'!R21,"n.a.")</x:f>
        <x:v>37061.73333333333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4" t="n">
        <x:f>IF(AND(ISNUMBER('Operations'!G16)),'Operations'!G16,"n.a.")</x:f>
        <x:v>4000</x:v>
      </x:c>
      <x:c r="H35" s="64" t="n">
        <x:f>IF(AND(ISNUMBER('Operations'!H16)),'Operations'!H16,"n.a.")</x:f>
        <x:v>4000</x:v>
      </x:c>
      <x:c r="I35" s="64" t="n">
        <x:f>IF(AND(ISNUMBER('Operations'!I16)),'Operations'!I16,"n.a.")</x:f>
        <x:v>4000</x:v>
      </x:c>
      <x:c r="J35" s="64" t="n">
        <x:f>IF(AND(ISNUMBER('Operations'!J16)),'Operations'!J16,"n.a.")</x:f>
        <x:v>160000</x:v>
      </x:c>
      <x:c r="K35" s="64" t="n">
        <x:f>IF(AND(ISNUMBER('Operations'!K16)),'Operations'!K16,"n.a.")</x:f>
        <x:v>4000</x:v>
      </x:c>
      <x:c r="L35" s="64" t="n">
        <x:f>IF(AND(ISNUMBER('Operations'!L16)),'Operations'!L16,"n.a.")</x:f>
        <x:v>4000</x:v>
      </x:c>
      <x:c r="M35" s="64" t="n">
        <x:f>IF(AND(ISNUMBER('Operations'!M16)),'Operations'!M16,"n.a.")</x:f>
        <x:v>4000</x:v>
      </x:c>
      <x:c r="N35" s="64" t="n">
        <x:f>IF(AND(ISNUMBER('Operations'!N16)),'Operations'!N16,"n.a.")</x:f>
        <x:v>4000</x:v>
      </x:c>
      <x:c r="O35" s="64" t="n">
        <x:f>IF(AND(ISNUMBER('Operations'!O16)),'Operations'!O16,"n.a.")</x:f>
        <x:v>4000</x:v>
      </x:c>
      <x:c r="P35" s="64" t="n">
        <x:f>IF(AND(ISNUMBER('Operations'!P16)),'Operations'!P16,"n.a.")</x:f>
        <x:v>4000</x:v>
      </x:c>
      <x:c r="Q35" s="64" t="n">
        <x:f>IF(AND(ISNUMBER('Operations'!Q16)),'Operations'!Q16,"n.a.")</x:f>
        <x:v>4000</x:v>
      </x:c>
      <x:c r="R35" s="64" t="n">
        <x:f>IF(AND(ISNUMBER('Operations'!R16)),'Operations'!R16,"n.a.")</x:f>
        <x:v>4000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3" t="n">
        <x:f>IF(AND(ISNUMBER(G34),ISNUMBER(G31),ISNUMBER(G35),ISNUMBER(G38)),G34-G31-G35-G38,"n.a.")</x:f>
        <x:v>13561.73333333333</x:v>
      </x:c>
      <x:c r="H36" s="63" t="n">
        <x:f>IF(AND(ISNUMBER(H34),ISNUMBER(H31),ISNUMBER(H35),ISNUMBER(H38)),H34-H31-H35-H38,"n.a.")</x:f>
        <x:v>13561.73333333333</x:v>
      </x:c>
      <x:c r="I36" s="63" t="n">
        <x:f>IF(AND(ISNUMBER(I34),ISNUMBER(I31),ISNUMBER(I35),ISNUMBER(I38)),I34-I31-I35-I38,"n.a.")</x:f>
        <x:v>13561.73333333333</x:v>
      </x:c>
      <x:c r="J36" s="63" t="n">
        <x:f>IF(AND(ISNUMBER(J34),ISNUMBER(J31),ISNUMBER(J35),ISNUMBER(J38)),J34-J31-J35-J38,"n.a.")</x:f>
        <x:v>-142438.26666666666</x:v>
      </x:c>
      <x:c r="K36" s="63" t="n">
        <x:f>IF(AND(ISNUMBER(K34),ISNUMBER(K31),ISNUMBER(K35),ISNUMBER(K38)),K34-K31-K35-K38,"n.a.")</x:f>
        <x:v>13561.73333333333</x:v>
      </x:c>
      <x:c r="L36" s="63" t="n">
        <x:f>IF(AND(ISNUMBER(L34),ISNUMBER(L31),ISNUMBER(L35),ISNUMBER(L38)),L34-L31-L35-L38,"n.a.")</x:f>
        <x:v>13561.73333333333</x:v>
      </x:c>
      <x:c r="M36" s="63" t="n">
        <x:f>IF(AND(ISNUMBER(M34),ISNUMBER(M31),ISNUMBER(M35),ISNUMBER(M38)),M34-M31-M35-M38,"n.a.")</x:f>
        <x:v>8754.27552481823</x:v>
      </x:c>
      <x:c r="N36" s="63" t="n">
        <x:f>IF(AND(ISNUMBER(N34),ISNUMBER(N31),ISNUMBER(N35),ISNUMBER(N38)),N34-N31-N35-N38,"n.a.")</x:f>
        <x:v>8754.27552481823</x:v>
      </x:c>
      <x:c r="O36" s="63" t="n">
        <x:f>IF(AND(ISNUMBER(O34),ISNUMBER(O31),ISNUMBER(O35),ISNUMBER(O38)),O34-O31-O35-O38,"n.a.")</x:f>
        <x:v>8754.27552481823</x:v>
      </x:c>
      <x:c r="P36" s="63" t="n">
        <x:f>IF(AND(ISNUMBER(P34),ISNUMBER(P31),ISNUMBER(P35),ISNUMBER(P38)),P34-P31-P35-P38,"n.a.")</x:f>
        <x:v>8754.27552481823</x:v>
      </x:c>
      <x:c r="Q36" s="63" t="n">
        <x:f>IF(AND(ISNUMBER(Q34),ISNUMBER(Q31),ISNUMBER(Q35),ISNUMBER(Q38)),Q34-Q31-Q35-Q38,"n.a.")</x:f>
        <x:v>8754.27552481823</x:v>
      </x:c>
      <x:c r="R36" s="63" t="n">
        <x:f>IF(AND(ISNUMBER(R34),ISNUMBER(R31),ISNUMBER(R35),ISNUMBER(R38)),R34-R31-R35-R38,"n.a.")</x:f>
        <x:v>8754.27552481823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4" t="n">
        <x:f>IF(AND(ISNUMBER('Assumptions'!$D$22),ISNUMBER(G36)),'Assumptions'!$D$22+G36,"n.a.")</x:f>
        <x:v>163561.73333333334</x:v>
      </x:c>
      <x:c r="H37" s="63" t="n">
        <x:f>IF(AND(ISNUMBER(G37),ISNUMBER(H36)),G37+H36,"n.a.")</x:f>
        <x:v>177123.46666666667</x:v>
      </x:c>
      <x:c r="I37" s="63" t="n">
        <x:f>IF(AND(ISNUMBER(H37),ISNUMBER(I36)),H37+I36,"n.a.")</x:f>
        <x:v>190685.2</x:v>
      </x:c>
      <x:c r="J37" s="63" t="n">
        <x:f>IF(AND(ISNUMBER(I37),ISNUMBER(J36)),I37+J36,"n.a.")</x:f>
        <x:v>48246.93333333335</x:v>
      </x:c>
      <x:c r="K37" s="63" t="n">
        <x:f>IF(AND(ISNUMBER(J37),ISNUMBER(K36)),J37+K36,"n.a.")</x:f>
        <x:v>61808.66666666668</x:v>
      </x:c>
      <x:c r="L37" s="63" t="n">
        <x:f>IF(AND(ISNUMBER(K37),ISNUMBER(L36)),K37+L36,"n.a.")</x:f>
        <x:v>75370.40000000001</x:v>
      </x:c>
      <x:c r="M37" s="63" t="n">
        <x:f>IF(AND(ISNUMBER(L37),ISNUMBER(M36)),L37+M36,"n.a.")</x:f>
        <x:v>84124.67552481825</x:v>
      </x:c>
      <x:c r="N37" s="63" t="n">
        <x:f>IF(AND(ISNUMBER(M37),ISNUMBER(N36)),M37+N36,"n.a.")</x:f>
        <x:v>92878.95104963647</x:v>
      </x:c>
      <x:c r="O37" s="63" t="n">
        <x:f>IF(AND(ISNUMBER(N37),ISNUMBER(O36)),N37+O36,"n.a.")</x:f>
        <x:v>101633.22657445469</x:v>
      </x:c>
      <x:c r="P37" s="63" t="n">
        <x:f>IF(AND(ISNUMBER(O37),ISNUMBER(P36)),O37+P36,"n.a.")</x:f>
        <x:v>110387.50209927291</x:v>
      </x:c>
      <x:c r="Q37" s="63" t="n">
        <x:f>IF(AND(ISNUMBER(P37),ISNUMBER(Q36)),P37+Q36,"n.a.")</x:f>
        <x:v>119141.77762409113</x:v>
      </x:c>
      <x:c r="R37" s="63" t="n">
        <x:f>IF(AND(ISNUMBER(Q37),ISNUMBER(R36)),Q37+R36,"n.a.")</x:f>
        <x:v>127896.05314890936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4" t="n">
        <x:f>IF(AND(ISNUMBER('Assumptions'!$D$40),ISNUMBER(G29),ISNUMBER(G32)),IF(1='Assumptions'!$D$40,G29-G32,0),"n.a.")</x:f>
        <x:v>0</x:v>
      </x:c>
      <x:c r="H38" s="64" t="n">
        <x:f>IF(AND(ISNUMBER('Assumptions'!$D$40),ISNUMBER(H29),ISNUMBER(H32)),IF(2='Assumptions'!$D$40,H29-H32,0),"n.a.")</x:f>
        <x:v>0</x:v>
      </x:c>
      <x:c r="I38" s="64" t="n">
        <x:f>IF(AND(ISNUMBER('Assumptions'!$D$40),ISNUMBER(I29),ISNUMBER(I32)),IF(3='Assumptions'!$D$40,I29-I32,0),"n.a.")</x:f>
        <x:v>0</x:v>
      </x:c>
      <x:c r="J38" s="64" t="n">
        <x:f>IF(AND(ISNUMBER('Assumptions'!$D$40),ISNUMBER(J29),ISNUMBER(J32)),IF(4='Assumptions'!$D$40,J29-J32,0),"n.a.")</x:f>
        <x:v>0</x:v>
      </x:c>
      <x:c r="K38" s="64" t="n">
        <x:f>IF(AND(ISNUMBER('Assumptions'!$D$40),ISNUMBER(K29),ISNUMBER(K32)),IF(5='Assumptions'!$D$40,K29-K32,0),"n.a.")</x:f>
        <x:v>0</x:v>
      </x:c>
      <x:c r="L38" s="64" t="n">
        <x:f>IF(AND(ISNUMBER('Assumptions'!$D$40),ISNUMBER(L29),ISNUMBER(L32)),IF(6='Assumptions'!$D$40,L29-L32,0),"n.a.")</x:f>
        <x:v>0</x:v>
      </x:c>
      <x:c r="M38" s="64" t="n">
        <x:f>IF(AND(ISNUMBER('Assumptions'!$D$40),ISNUMBER(M29),ISNUMBER(M32)),IF(7='Assumptions'!$D$40,M29-M32,0),"n.a.")</x:f>
        <x:v>0</x:v>
      </x:c>
      <x:c r="N38" s="64" t="n">
        <x:f>IF(AND(ISNUMBER('Assumptions'!$D$40),ISNUMBER(N29),ISNUMBER(N32)),IF(8='Assumptions'!$D$40,N29-N32,0),"n.a.")</x:f>
        <x:v>0</x:v>
      </x:c>
      <x:c r="O38" s="64" t="n">
        <x:f>IF(AND(ISNUMBER('Assumptions'!$D$40),ISNUMBER(O29),ISNUMBER(O32)),IF(9='Assumptions'!$D$40,O29-O32,0),"n.a.")</x:f>
        <x:v>0</x:v>
      </x:c>
      <x:c r="P38" s="64" t="n">
        <x:f>IF(AND(ISNUMBER('Assumptions'!$D$40),ISNUMBER(P29),ISNUMBER(P32)),IF(10='Assumptions'!$D$40,P29-P32,0),"n.a.")</x:f>
        <x:v>0</x:v>
      </x:c>
      <x:c r="Q38" s="64" t="n">
        <x:f>IF(AND(ISNUMBER('Assumptions'!$D$40),ISNUMBER(Q29),ISNUMBER(Q32)),IF(11='Assumptions'!$D$40,Q29-Q32,0),"n.a.")</x:f>
        <x:v>0</x:v>
      </x:c>
      <x:c r="R38" s="64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262844.7468510907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5" t="n">
        <x:f>IF(AND(ISNUMBER(D43),ISNUMBER(D9)),IF(D43=0,"n.a.",D9/D43),"n.a.")</x:f>
        <x:v>1.6920284895477053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3570761.814673677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700000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127896.05314890936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4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4" t="n">
        <x:f>COUNTIFS('Usable Acres and Site Cash'!N10:N21,"Missing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4" t="n">
        <x:f>IF(AND(ISNUMBER('Operations'!E19),ISNUMBER('Operations'!E14),ISNUMBER('Operations'!E18)),'Operations'!E19-'Operations'!E14+'Operations'!E18,"n.a.")</x:f>
        <x:v>-1.7462298274040222e-10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4" t="n">
        <x:f>IF(AND(ISNUMBER('Operations'!E21),ISNUMBER('Operations'!E19),ISNUMBER('Operations'!E20)),'Operations'!E21-'Operations'!E19+'Operations'!E20,"n.a.")</x:f>
        <x:v>1.6007106751203537e-10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4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4" t="n">
        <x:f>IF(COUNT('Debt and Funding'!G34:R36)=36,'Debt and Funding'!R37-'Assumptions'!$D$22-SUM('Debt and Funding'!G34:R34)+SUM('Debt and Funding'!G31:R31)+SUM('Debt and Funding'!G35:R35)+SUM('Debt and Funding'!G38:R38),"n.a.")</x:f>
        <x:v>5.820766091346741e-11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4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Excluded acres include the actual mapped setbacks, access, stormwater and unusable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areas. Excluded area greater than gross area is unavailable, rather than treated as zero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usable land.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Leasing is capped by usable acreage. The volume sensitivity changes requested leased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area, not physical acreage or legal permission. Upkeep continues across all usable land,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including vacant acres.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Recoveries are actual cash collected separately from rent. Keep reimbursable expense in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gross site costs; do not net that cost and also add the reimbursement. Fixed costs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exclude upkeep and site services already scheduled.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Site capital is below NCF and is not treated as additional acreage. Permitted use,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surfaces, access, environmental conditions and stormwater requirements require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parcel-specific review; acreage and cash-flow calculations establish none of those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rights.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Published by Jaken Finance Group. 833-264-7776 | info@jakenfinancegroup.com.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