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2dae783140e4426" /></Relationships>
</file>

<file path=xl/workbook.xml><?xml version="1.0" encoding="utf-8"?>
<x:workbook xmlns:x="http://schemas.openxmlformats.org/spreadsheetml/2006/main">
  <x:sheets>
    <x:sheet xmlns:r="http://schemas.openxmlformats.org/officeDocument/2006/relationships" name="Summary" sheetId="1" r:id="R133bfdd92312436b"/>
    <x:sheet xmlns:r="http://schemas.openxmlformats.org/officeDocument/2006/relationships" name="Assumptions" sheetId="2" r:id="Ra46f6f3618a44c69"/>
    <x:sheet xmlns:r="http://schemas.openxmlformats.org/officeDocument/2006/relationships" name="Machine and Laundry Cash" sheetId="3" r:id="R335c8d8f0137418b"/>
    <x:sheet xmlns:r="http://schemas.openxmlformats.org/officeDocument/2006/relationships" name="Operations" sheetId="4" r:id="R0bfca2b9d2f84a3e"/>
    <x:sheet xmlns:r="http://schemas.openxmlformats.org/officeDocument/2006/relationships" name="Debt and Funding" sheetId="5" r:id="Ra0587204f4b44649"/>
    <x:sheet xmlns:r="http://schemas.openxmlformats.org/officeDocument/2006/relationships" name="Review" sheetId="6" r:id="Ra9bb4f0999594fcf"/>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e44a408d5674d3e" /><Relationship Type="http://schemas.openxmlformats.org/officeDocument/2006/relationships/theme" Target="/xl/theme/theme1.xml" Id="Rebc25a1f844241a5" /><Relationship Type="http://schemas.openxmlformats.org/officeDocument/2006/relationships/sharedStrings" Target="/xl/sharedStrings.xml" Id="Re6369e3ae3114a30" /><Relationship Type="http://schemas.openxmlformats.org/officeDocument/2006/relationships/worksheet" Target="/xl/worksheets/sheet1.xml" Id="R133bfdd92312436b" /><Relationship Type="http://schemas.openxmlformats.org/officeDocument/2006/relationships/worksheet" Target="/xl/worksheets/sheet2.xml" Id="Ra46f6f3618a44c69" /><Relationship Type="http://schemas.openxmlformats.org/officeDocument/2006/relationships/worksheet" Target="/xl/worksheets/sheet3.xml" Id="R335c8d8f0137418b" /><Relationship Type="http://schemas.openxmlformats.org/officeDocument/2006/relationships/worksheet" Target="/xl/worksheets/sheet4.xml" Id="R0bfca2b9d2f84a3e" /><Relationship Type="http://schemas.openxmlformats.org/officeDocument/2006/relationships/worksheet" Target="/xl/worksheets/sheet5.xml" Id="Ra0587204f4b44649" /><Relationship Type="http://schemas.openxmlformats.org/officeDocument/2006/relationships/worksheet" Target="/xl/worksheets/sheet6.xml" Id="Ra9bb4f0999594fc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Laundromat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'Operations'!E17</x:f>
        <x:v>748904.0625</x:v>
      </x:c>
      <x:c r="E10" s="2"/>
      <x:c r="F10" s="2"/>
      <x:c r="G10" s="68" t="n">
        <x:f>'Operations'!G9</x:f>
        <x:v>46388</x:v>
      </x:c>
      <x:c r="H10" s="69" t="n">
        <x:f>'Debt and Funding'!G36</x:f>
        <x:v>8590.95583333333</x:v>
      </x:c>
      <x:c r="I10" s="69" t="n">
        <x:f>'Debt and Funding'!G37</x:f>
        <x:v>108590.95583333333</x:v>
      </x:c>
      <x:c r="J10" s="69" t="n">
        <x:f>'Debt and Funding'!G33</x:f>
        <x:v>1000000</x:v>
      </x:c>
      <x:c r="K10" s="2"/>
      <x:c r="L10" s="2"/>
    </x:row>
    <x:row r="11" ht="21" customHeight="1">
      <x:c r="A11" s="2"/>
      <x:c r="B11" s="2"/>
      <x:c r="C11" s="2" t="str">
        <x:v>Operating and other cash obligations</x:v>
      </x:c>
      <x:c r="D11" s="50" t="n">
        <x:f>'Operations'!E25</x:f>
        <x:v>586802.4750000001</x:v>
      </x:c>
      <x:c r="E11" s="2"/>
      <x:c r="F11" s="2"/>
      <x:c r="G11" s="68" t="n">
        <x:f>'Operations'!H9</x:f>
        <x:v>46419</x:v>
      </x:c>
      <x:c r="H11" s="69" t="n">
        <x:f>'Debt and Funding'!H36</x:f>
        <x:v>6023.863333333332</x:v>
      </x:c>
      <x:c r="I11" s="69" t="n">
        <x:f>'Debt and Funding'!H37</x:f>
        <x:v>114614.81916666665</x:v>
      </x:c>
      <x:c r="J11" s="69" t="n">
        <x:f>'Debt and Funding'!H33</x:f>
        <x:v>1000000</x:v>
      </x:c>
      <x:c r="K11" s="2"/>
      <x:c r="L11" s="2"/>
    </x:row>
    <x:row r="12" ht="21" customHeight="1">
      <x:c r="A12" s="2"/>
      <x:c r="B12" s="2"/>
      <x:c r="C12" s="2" t="str">
        <x:v>Combined cash after business obligations</x:v>
      </x:c>
      <x:c r="D12" s="50" t="n">
        <x:f>'Operations'!E26</x:f>
        <x:v>162101.58749999997</x:v>
      </x:c>
      <x:c r="E12" s="2"/>
      <x:c r="F12" s="2"/>
      <x:c r="G12" s="68" t="n">
        <x:f>'Operations'!I9</x:f>
        <x:v>46447</x:v>
      </x:c>
      <x:c r="H12" s="69" t="n">
        <x:f>'Debt and Funding'!I36</x:f>
        <x:v>8590.95583333333</x:v>
      </x:c>
      <x:c r="I12" s="69" t="n">
        <x:f>'Debt and Funding'!I37</x:f>
        <x:v>123205.77499999998</x:v>
      </x:c>
      <x:c r="J12" s="69" t="n">
        <x:f>'Debt and Funding'!I33</x:f>
        <x:v>1000000</x:v>
      </x:c>
      <x:c r="K12" s="2"/>
      <x:c r="L12" s="2"/>
    </x:row>
    <x:row r="13" ht="21" customHeight="1">
      <x:c r="A13" s="2"/>
      <x:c r="B13" s="2"/>
      <x:c r="C13" s="2" t="str">
        <x:v>Annual reserve deposits</x:v>
      </x:c>
      <x:c r="D13" s="50" t="n">
        <x:f>'Operations'!E27</x:f>
        <x:v>0</x:v>
      </x:c>
      <x:c r="E13" s="2"/>
      <x:c r="F13" s="2"/>
      <x:c r="G13" s="68" t="n">
        <x:f>'Operations'!J9</x:f>
        <x:v>46478</x:v>
      </x:c>
      <x:c r="H13" s="69" t="n">
        <x:f>'Debt and Funding'!J36</x:f>
        <x:v>7735.258333333336</x:v>
      </x:c>
      <x:c r="I13" s="69" t="n">
        <x:f>'Debt and Funding'!J37</x:f>
        <x:v>130941.03333333331</x:v>
      </x:c>
      <x:c r="J13" s="69" t="n">
        <x:f>'Debt and Funding'!J33</x:f>
        <x:v>1000000</x:v>
      </x:c>
      <x:c r="K13" s="2"/>
      <x:c r="L13" s="2"/>
    </x:row>
    <x:row r="14" ht="21" customHeight="1">
      <x:c r="A14" s="2"/>
      <x:c r="B14" s="2"/>
      <x:c r="C14" s="2" t="str">
        <x:v>Cash NCF before debt and capital</x:v>
      </x:c>
      <x:c r="D14" s="50" t="n">
        <x:f>'Operations'!E28</x:f>
        <x:v>162101.58749999997</x:v>
      </x:c>
      <x:c r="E14" s="2"/>
      <x:c r="F14" s="2"/>
      <x:c r="G14" s="68" t="n">
        <x:f>'Operations'!K9</x:f>
        <x:v>46508</x:v>
      </x:c>
      <x:c r="H14" s="69" t="n">
        <x:f>'Debt and Funding'!K36</x:f>
        <x:v>8590.95583333333</x:v>
      </x:c>
      <x:c r="I14" s="69" t="n">
        <x:f>'Debt and Funding'!K37</x:f>
        <x:v>139531.98916666664</x:v>
      </x:c>
      <x:c r="J14" s="69" t="n">
        <x:f>'Debt and Funding'!K33</x:f>
        <x:v>1000000</x:v>
      </x:c>
      <x:c r="K14" s="2"/>
      <x:c r="L14" s="2"/>
    </x:row>
    <x:row r="15" ht="21" customHeight="1">
      <x:c r="A15" s="2"/>
      <x:c r="B15" s="2"/>
      <x:c r="C15" s="2" t="str">
        <x:v>Residual cash used for sizing</x:v>
      </x:c>
      <x:c r="D15" s="50" t="n">
        <x:f>'Debt and Funding'!D9</x:f>
        <x:v>162101.58749999997</x:v>
      </x:c>
      <x:c r="E15" s="2"/>
      <x:c r="F15" s="2"/>
      <x:c r="G15" s="68" t="n">
        <x:f>'Operations'!L9</x:f>
        <x:v>46539</x:v>
      </x:c>
      <x:c r="H15" s="69" t="n">
        <x:f>'Debt and Funding'!L36</x:f>
        <x:v>7735.258333333336</x:v>
      </x:c>
      <x:c r="I15" s="69" t="n">
        <x:f>'Debt and Funding'!L37</x:f>
        <x:v>147267.24749999997</x:v>
      </x:c>
      <x:c r="J15" s="69" t="n">
        <x:f>'Debt and Funding'!L33</x:f>
        <x:v>1000000</x:v>
      </x:c>
      <x:c r="K15" s="2"/>
      <x:c r="L15" s="2"/>
    </x:row>
    <x:row r="16" ht="21" customHeight="1">
      <x:c r="A16" s="2"/>
      <x:c r="B16" s="2"/>
      <x:c r="C16" s="2" t="str">
        <x:v>DSCR loan capacity</x:v>
      </x:c>
      <x:c r="D16" s="50" t="n">
        <x:f>'Debt and Funding'!D11</x:f>
        <x:v>1600512.12703829</x:v>
      </x:c>
      <x:c r="E16" s="2"/>
      <x:c r="F16" s="2"/>
      <x:c r="G16" s="68" t="n">
        <x:f>'Operations'!M9</x:f>
        <x:v>46569</x:v>
      </x:c>
      <x:c r="H16" s="69" t="n">
        <x:f>'Debt and Funding'!M36</x:f>
        <x:v>7255.5508865235815</x:v>
      </x:c>
      <x:c r="I16" s="69" t="n">
        <x:f>'Debt and Funding'!M37</x:f>
        <x:v>154522.79838652356</x:v>
      </x:c>
      <x:c r="J16" s="69" t="n">
        <x:f>'Debt and Funding'!M33</x:f>
        <x:v>998664.5950531902</x:v>
      </x:c>
      <x:c r="K16" s="2"/>
      <x:c r="L16" s="2"/>
    </x:row>
    <x:row r="17" ht="21" customHeight="1">
      <x:c r="A17" s="2"/>
      <x:c r="B17" s="2"/>
      <x:c r="C17" s="2" t="str">
        <x:v>LTV loan capacity</x:v>
      </x:c>
      <x:c r="D17" s="50" t="n">
        <x:f>'Debt and Funding'!D12</x:f>
        <x:v>1105000</x:v>
      </x:c>
      <x:c r="E17" s="2"/>
      <x:c r="F17" s="2"/>
      <x:c r="G17" s="68" t="n">
        <x:f>'Operations'!N9</x:f>
        <x:v>46600</x:v>
      </x:c>
      <x:c r="H17" s="69" t="n">
        <x:f>'Debt and Funding'!N36</x:f>
        <x:v>7255.5508865235815</x:v>
      </x:c>
      <x:c r="I17" s="69" t="n">
        <x:f>'Debt and Funding'!N37</x:f>
        <x:v>161778.34927304715</x:v>
      </x:c>
      <x:c r="J17" s="69" t="n">
        <x:f>'Debt and Funding'!N33</x:f>
        <x:v>997321.9566629186</x:v>
      </x:c>
      <x:c r="K17" s="2"/>
      <x:c r="L17" s="2"/>
    </x:row>
    <x:row r="18" ht="21" customHeight="1">
      <x:c r="A18" s="2"/>
      <x:c r="B18" s="2"/>
      <x:c r="C18" s="2" t="str">
        <x:v>Debt-yield loan capacity</x:v>
      </x:c>
      <x:c r="D18" s="50" t="n">
        <x:f>'Debt and Funding'!D13</x:f>
        <x:v>1801128.7499999998</x:v>
      </x:c>
      <x:c r="E18" s="2"/>
      <x:c r="F18" s="2"/>
      <x:c r="G18" s="68" t="n">
        <x:f>'Operations'!O9</x:f>
        <x:v>46631</x:v>
      </x:c>
      <x:c r="H18" s="69" t="n">
        <x:f>'Debt and Funding'!O36</x:f>
        <x:v>6399.853386523587</x:v>
      </x:c>
      <x:c r="I18" s="69" t="n">
        <x:f>'Debt and Funding'!O37</x:f>
        <x:v>168178.20265957073</x:v>
      </x:c>
      <x:c r="J18" s="69" t="n">
        <x:f>'Debt and Funding'!O33</x:f>
        <x:v>995972.0456480329</x:v>
      </x:c>
      <x:c r="K18" s="2"/>
      <x:c r="L18" s="2"/>
    </x:row>
    <x:row r="19" ht="21" customHeight="1">
      <x:c r="A19" s="2"/>
      <x:c r="B19" s="2"/>
      <x:c r="C19" s="56" t="str">
        <x:v>Sized loan</x:v>
      </x:c>
      <x:c r="D19" s="65" t="n">
        <x:f>'Debt and Funding'!D14</x:f>
        <x:v>1000000</x:v>
      </x:c>
      <x:c r="E19" s="2"/>
      <x:c r="F19" s="2"/>
      <x:c r="G19" s="68" t="n">
        <x:f>'Operations'!P9</x:f>
        <x:v>46661</x:v>
      </x:c>
      <x:c r="H19" s="69" t="n">
        <x:f>'Debt and Funding'!P36</x:f>
        <x:v>-102744.44911347642</x:v>
      </x:c>
      <x:c r="I19" s="69" t="n">
        <x:f>'Debt and Funding'!P37</x:f>
        <x:v>65433.7535460943</x:v>
      </x:c>
      <x:c r="J19" s="69" t="n">
        <x:f>'Debt and Funding'!P33</x:f>
        <x:v>994614.82261515</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6399.853386523587</x:v>
      </x:c>
      <x:c r="I20" s="69" t="n">
        <x:f>'Debt and Funding'!Q37</x:f>
        <x:v>71833.60693261788</x:v>
      </x:c>
      <x:c r="J20" s="69" t="n">
        <x:f>'Debt and Funding'!Q33</x:f>
        <x:v>993250.2479575056</x:v>
      </x:c>
      <x:c r="K20" s="2"/>
      <x:c r="L20" s="2"/>
    </x:row>
    <x:row r="21" ht="21" customHeight="1">
      <x:c r="A21" s="2"/>
      <x:c r="B21" s="2"/>
      <x:c r="C21" s="2" t="str">
        <x:v>First-year debt service</x:v>
      </x:c>
      <x:c r="D21" s="50" t="n">
        <x:f>'Debt and Funding'!D43</x:f>
        <x:v>73012.4296808585</x:v>
      </x:c>
      <x:c r="E21" s="2"/>
      <x:c r="F21" s="2"/>
      <x:c r="G21" s="68" t="n">
        <x:f>'Operations'!R9</x:f>
        <x:v>46722</x:v>
      </x:c>
      <x:c r="H21" s="69" t="n">
        <x:f>'Debt and Funding'!R36</x:f>
        <x:v>7255.5508865235815</x:v>
      </x:c>
      <x:c r="I21" s="69" t="n">
        <x:f>'Debt and Funding'!R37</x:f>
        <x:v>79089.15781914146</x:v>
      </x:c>
      <x:c r="J21" s="69" t="n">
        <x:f>'Debt and Funding'!R33</x:f>
        <x:v>991878.281853799</x:v>
      </x:c>
      <x:c r="K21" s="2"/>
      <x:c r="L21" s="2"/>
    </x:row>
    <x:row r="22" ht="21" customHeight="1">
      <x:c r="A22" s="2"/>
      <x:c r="B22" s="2"/>
      <x:c r="C22" s="2" t="str">
        <x:v>Residual cash / property debt service</x:v>
      </x:c>
      <x:c r="D22" s="67" t="n">
        <x:f>'Debt and Funding'!D44</x:f>
        <x:v>2.2201916606330627</x:v>
      </x:c>
      <x:c r="E22" s="2"/>
      <x:c r="F22" s="2"/>
      <x:c r="G22" s="2"/>
      <x:c r="H22" s="2"/>
      <x:c r="I22" s="2"/>
      <x:c r="J22" s="2"/>
      <x:c r="K22" s="2"/>
      <x:c r="L22" s="2"/>
    </x:row>
    <x:row r="23" ht="21" customHeight="1">
      <x:c r="A23" s="2"/>
      <x:c r="B23" s="2"/>
      <x:c r="C23" s="2" t="str">
        <x:v>Signed closing equity requirement</x:v>
      </x:c>
      <x:c r="D23" s="50" t="n">
        <x:f>'Debt and Funding'!D18</x:f>
        <x:v>675000</x:v>
      </x:c>
      <x:c r="E23" s="2"/>
      <x:c r="F23" s="2"/>
      <x:c r="G23" s="2"/>
      <x:c r="H23" s="2"/>
      <x:c r="I23" s="2"/>
      <x:c r="J23" s="2"/>
      <x:c r="K23" s="2"/>
      <x:c r="L23" s="2"/>
    </x:row>
    <x:row r="24" ht="21" customHeight="1">
      <x:c r="A24" s="2"/>
      <x:c r="B24" s="2"/>
      <x:c r="C24" s="2" t="str">
        <x:v>Available equity less closing need</x:v>
      </x:c>
      <x:c r="D24" s="50" t="n">
        <x:f>'Debt and Funding'!D19</x:f>
        <x:v>125000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125000</x:v>
      </x:c>
      <x:c r="E26" s="2"/>
      <x:c r="F26" s="2"/>
      <x:c r="G26" s="2"/>
      <x:c r="H26" s="2"/>
      <x:c r="I26" s="2"/>
      <x:c r="J26" s="2"/>
      <x:c r="K26" s="2"/>
      <x:c r="L26" s="2"/>
    </x:row>
    <x:row r="27" ht="21" customHeight="1">
      <x:c r="A27" s="2"/>
      <x:c r="B27" s="2"/>
      <x:c r="C27" s="2" t="str">
        <x:v>Year-end principal</x:v>
      </x:c>
      <x:c r="D27" s="50" t="n">
        <x:f>'Debt and Funding'!D45</x:f>
        <x:v>991878.281853799</x:v>
      </x:c>
      <x:c r="E27" s="2"/>
      <x:c r="F27" s="2"/>
      <x:c r="G27" s="2" t="str">
        <x:v>Edit blue cells in Machine and Laundry Cash and Assumptions.</x:v>
      </x:c>
      <x:c r="H27" s="2"/>
      <x:c r="I27" s="2"/>
      <x:c r="J27" s="2"/>
      <x:c r="K27" s="2"/>
      <x:c r="L27" s="2"/>
    </x:row>
    <x:row r="28" ht="21" customHeight="1">
      <x:c r="A28" s="2"/>
      <x:c r="B28" s="2"/>
      <x:c r="C28" s="2" t="str">
        <x:v>Principal due at maturity</x:v>
      </x:c>
      <x:c r="D28" s="50" t="n">
        <x:f>'Debt and Funding'!D20</x:f>
        <x:v>916494.3050703831</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1700000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1700000</x:v>
      </x:c>
      <x:c r="E11" s="2"/>
      <x:c r="F11" s="2"/>
      <x:c r="G11" s="2"/>
      <x:c r="H11" s="2"/>
      <x:c r="I11" s="2"/>
      <x:c r="J11" s="2"/>
    </x:row>
    <x:row r="12" ht="35" customHeight="1">
      <x:c r="A12" s="2"/>
      <x:c r="B12" s="2"/>
      <x:c r="C12" s="28" t="str">
        <x:v>Downside</x:v>
      </x:c>
      <x:c r="D12" s="27" t="n">
        <x:v>1400000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1500000</x:v>
      </x:c>
      <x:c r="E13" s="22" t="str">
        <x:v>USD</x:v>
      </x:c>
      <x:c r="F13" s="2"/>
      <x:c r="G13" s="2"/>
      <x:c r="H13" s="2"/>
      <x:c r="I13" s="2"/>
      <x:c r="J13" s="2"/>
    </x:row>
    <x:row r="14" ht="35" customHeight="1">
      <x:c r="A14" s="2"/>
      <x:c r="B14" s="2"/>
      <x:c r="C14" s="28" t="str">
        <x:v>Base</x:v>
      </x:c>
      <x:c r="D14" s="27" t="n">
        <x:v>1500000</x:v>
      </x:c>
      <x:c r="E14" s="2"/>
      <x:c r="F14" s="2"/>
      <x:c r="G14" s="42" t="str">
        <x:v>Downside inputs feed the same model. Change D5 to recalculate.</x:v>
      </x:c>
      <x:c r="H14" s="2"/>
      <x:c r="I14" s="2"/>
      <x:c r="J14" s="2"/>
    </x:row>
    <x:row r="15" ht="21" customHeight="1">
      <x:c r="A15" s="2"/>
      <x:c r="B15" s="2"/>
      <x:c r="C15" s="28" t="str">
        <x:v>Downside</x:v>
      </x:c>
      <x:c r="D15" s="27" t="n">
        <x:v>1500000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45000</x:v>
      </x:c>
      <x:c r="E16" s="22" t="str">
        <x:v>USD</x:v>
      </x:c>
      <x:c r="F16" s="2"/>
      <x:c r="G16" s="42" t="str">
        <x:v>NCF adjustment changes sizing only, not cash actually available.</x:v>
      </x:c>
      <x:c r="H16" s="2"/>
      <x:c r="I16" s="2"/>
      <x:c r="J16" s="2"/>
    </x:row>
    <x:row r="17" ht="21" customHeight="1">
      <x:c r="A17" s="2"/>
      <x:c r="B17" s="2"/>
      <x:c r="C17" s="28" t="str">
        <x:v>Base</x:v>
      </x:c>
      <x:c r="D17" s="27" t="n">
        <x:v>45000</x:v>
      </x:c>
      <x:c r="E17" s="2"/>
      <x:c r="F17" s="2"/>
      <x:c r="G17" s="2"/>
      <x:c r="H17" s="2"/>
      <x:c r="I17" s="2"/>
      <x:c r="J17" s="2"/>
    </x:row>
    <x:row r="18" ht="35" customHeight="1">
      <x:c r="A18" s="2"/>
      <x:c r="B18" s="2"/>
      <x:c r="C18" s="28" t="str">
        <x:v>Downside</x:v>
      </x:c>
      <x:c r="D18" s="27" t="n">
        <x:v>45000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30000</x:v>
      </x:c>
      <x:c r="E19" s="22" t="str">
        <x:v>USD</x:v>
      </x:c>
      <x:c r="F19" s="2"/>
      <x:c r="G19" s="2"/>
      <x:c r="H19" s="2"/>
      <x:c r="I19" s="2"/>
      <x:c r="J19" s="2"/>
    </x:row>
    <x:row r="20" ht="35" customHeight="1">
      <x:c r="A20" s="2"/>
      <x:c r="B20" s="2"/>
      <x:c r="C20" s="28" t="str">
        <x:v>Base</x:v>
      </x:c>
      <x:c r="D20" s="27" t="n">
        <x:v>30000</x:v>
      </x:c>
      <x:c r="E20" s="2"/>
      <x:c r="F20" s="2"/>
      <x:c r="G20" s="42" t="str">
        <x:v>Restricted closing reserves are not available operating cash.</x:v>
      </x:c>
      <x:c r="H20" s="2"/>
      <x:c r="I20" s="2"/>
      <x:c r="J20" s="2"/>
    </x:row>
    <x:row r="21" ht="21" customHeight="1">
      <x:c r="A21" s="2"/>
      <x:c r="B21" s="2"/>
      <x:c r="C21" s="28" t="str">
        <x:v>Downside</x:v>
      </x:c>
      <x:c r="D21" s="27" t="n">
        <x:v>30000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100000</x:v>
      </x:c>
      <x:c r="E22" s="22" t="str">
        <x:v>USD</x:v>
      </x:c>
      <x:c r="F22" s="2"/>
      <x:c r="G22" s="42" t="str">
        <x:v>Opening operating cash is funded in closing uses exactly once.</x:v>
      </x:c>
      <x:c r="H22" s="2"/>
      <x:c r="I22" s="2"/>
      <x:c r="J22" s="2"/>
    </x:row>
    <x:row r="23" ht="21" customHeight="1">
      <x:c r="A23" s="2"/>
      <x:c r="B23" s="2"/>
      <x:c r="C23" s="28" t="str">
        <x:v>Base</x:v>
      </x:c>
      <x:c r="D23" s="27" t="n">
        <x:v>100000</x:v>
      </x:c>
      <x:c r="E23" s="2"/>
      <x:c r="F23" s="2"/>
      <x:c r="G23" s="2"/>
      <x:c r="H23" s="2"/>
      <x:c r="I23" s="2"/>
      <x:c r="J23" s="2"/>
    </x:row>
    <x:row r="24" ht="35" customHeight="1">
      <x:c r="A24" s="2"/>
      <x:c r="B24" s="2"/>
      <x:c r="C24" s="28" t="str">
        <x:v>Downside</x:v>
      </x:c>
      <x:c r="D24" s="27" t="n">
        <x:v>100000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800000</x:v>
      </x:c>
      <x:c r="E25" s="22" t="str">
        <x:v>USD</x:v>
      </x:c>
      <x:c r="F25" s="2"/>
      <x:c r="G25" s="2"/>
      <x:c r="H25" s="2"/>
      <x:c r="I25" s="2"/>
      <x:c r="J25" s="2"/>
    </x:row>
    <x:row r="26" ht="21" customHeight="1">
      <x:c r="A26" s="2"/>
      <x:c r="B26" s="2"/>
      <x:c r="C26" s="28" t="str">
        <x:v>Base</x:v>
      </x:c>
      <x:c r="D26" s="27" t="n">
        <x:v>800000</x:v>
      </x:c>
      <x:c r="E26" s="2"/>
      <x:c r="F26" s="2"/>
      <x:c r="G26" s="2"/>
      <x:c r="H26" s="2"/>
      <x:c r="I26" s="2"/>
      <x:c r="J26" s="2"/>
    </x:row>
    <x:row r="27" ht="21" customHeight="1">
      <x:c r="A27" s="2"/>
      <x:c r="B27" s="2"/>
      <x:c r="C27" s="28" t="str">
        <x:v>Downside</x:v>
      </x:c>
      <x:c r="D27" s="27" t="n">
        <x:v>800000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1000000</x:v>
      </x:c>
      <x:c r="E28" s="22" t="str">
        <x:v>USD</x:v>
      </x:c>
      <x:c r="F28" s="2"/>
      <x:c r="G28" s="2"/>
      <x:c r="H28" s="2"/>
      <x:c r="I28" s="2"/>
      <x:c r="J28" s="2"/>
    </x:row>
    <x:row r="29" ht="21" customHeight="1">
      <x:c r="A29" s="2"/>
      <x:c r="B29" s="2"/>
      <x:c r="C29" s="28" t="str">
        <x:v>Base</x:v>
      </x:c>
      <x:c r="D29" s="27" t="n">
        <x:v>1000000</x:v>
      </x:c>
      <x:c r="E29" s="2"/>
      <x:c r="F29" s="2"/>
      <x:c r="G29" s="2"/>
      <x:c r="H29" s="2"/>
      <x:c r="I29" s="2"/>
      <x:c r="J29" s="2"/>
    </x:row>
    <x:row r="30" ht="75" customHeight="1">
      <x:c r="A30" s="2"/>
      <x:c r="B30" s="2"/>
      <x:c r="C30" s="28" t="str">
        <x:v>Downside</x:v>
      </x:c>
      <x:c r="D30" s="27" t="n">
        <x:v>1000000</x:v>
      </x:c>
      <x:c r="E30" s="2"/>
      <x:c r="F30" s="2"/>
      <x:c r="G30" s="42" t="str">
        <x:v>Wash cycles are capped by entered daily capacity and use calendar days. Counts and prices need collection-log/payment-system reconciliation. Utility use is a reasonableness check, not proof of sales.</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Wash-and-fold pound cost includes its incremental labor, supplies and utilities. Self-service cycles exclude those loads; dryer receipts are separate. Other energy/repair cash includes dryer costs, avoiding a duplicate utility deduction.</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Combined cash is an operating-business and property measure, not property NOI. Other business debt, taxes/distributions and maintenance capital are deducted once before the residual property-debt proxy.</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Related-party rent is shown and eliminated. External property costs exclude mortgage debt and must not also appear in business operating inputs. No intercompany transfer permission is established.</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Maintenance capital is deducted before sizing. Additional expansion/property capital is deducted below residual cash. Do not enter the same cost in both places.</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All amounts are fictional. Residual coverage, value and cash tests do not establish bank DSCR, program eligibility, business value or a loan commitment.</x:v>
      </x:c>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Maximum paid cycles / washer / day</x:v>
      </x:c>
      <x:c r="D88" s="37" t="n">
        <x:f>IF($D$5=1,IF(ISNUMBER(D89),IF(AND(D89&gt;=0,D89&lt;=100),D89,"n.a."),"n.a."),IF($D$5=2,IF(ISNUMBER(D90),IF(AND(D90&gt;=0,D90&lt;=100),D90,"n.a."),"n.a."),"n.a."))</x:f>
        <x:v>6</x:v>
      </x:c>
      <x:c r="E88" s="22" t="str">
        <x:v>cycles/day</x:v>
      </x:c>
      <x:c r="F88" s="2"/>
      <x:c r="G88" s="2"/>
      <x:c r="H88" s="2"/>
      <x:c r="I88" s="2"/>
      <x:c r="J88" s="2"/>
    </x:row>
    <x:row r="89" ht="21" customHeight="1">
      <x:c r="A89" s="2"/>
      <x:c r="B89" s="2"/>
      <x:c r="C89" s="28" t="str">
        <x:v>Base</x:v>
      </x:c>
      <x:c r="D89" s="16" t="n">
        <x:v>6</x:v>
      </x:c>
      <x:c r="E89" s="2"/>
      <x:c r="F89" s="2"/>
      <x:c r="G89" s="2"/>
      <x:c r="H89" s="2"/>
      <x:c r="I89" s="2"/>
      <x:c r="J89" s="2"/>
    </x:row>
    <x:row r="90" ht="21" customHeight="1">
      <x:c r="A90" s="2"/>
      <x:c r="B90" s="2"/>
      <x:c r="C90" s="28" t="str">
        <x:v>Downside</x:v>
      </x:c>
      <x:c r="D90" s="16" t="n">
        <x:v>6</x:v>
      </x:c>
      <x:c r="E90" s="2"/>
      <x:c r="F90" s="2"/>
      <x:c r="G90" s="2"/>
      <x:c r="H90" s="2"/>
      <x:c r="I90" s="2"/>
      <x:c r="J90" s="2"/>
    </x:row>
    <x:row r="91" ht="21" customHeight="1">
      <x:c r="A91" s="2"/>
      <x:c r="B91" s="2"/>
      <x:c r="C91" s="31" t="str">
        <x:v>Channel collection realization</x:v>
      </x:c>
      <x:c r="D91" s="32" t="n">
        <x:f>IF($D$5=1,IF(ISNUMBER(D92),IF(AND(D92&gt;=0,D92&lt;=1),D92,"n.a."),"n.a."),IF($D$5=2,IF(ISNUMBER(D93),IF(AND(D93&gt;=0,D93&lt;=1),D93,"n.a."),"n.a."),"n.a."))</x:f>
        <x:v>0.99</x:v>
      </x:c>
      <x:c r="E91" s="33" t="str">
        <x:v>%</x:v>
      </x:c>
      <x:c r="F91" s="2"/>
      <x:c r="G91" s="2"/>
      <x:c r="H91" s="2"/>
      <x:c r="I91" s="2"/>
      <x:c r="J91" s="2"/>
    </x:row>
    <x:row r="92" ht="21" customHeight="1">
      <x:c r="A92" s="2"/>
      <x:c r="B92" s="2"/>
      <x:c r="C92" s="34" t="str">
        <x:v>Base</x:v>
      </x:c>
      <x:c r="D92" s="35" t="n">
        <x:v>0.99</x:v>
      </x:c>
      <x:c r="E92" s="36"/>
      <x:c r="F92" s="2"/>
      <x:c r="G92" s="2"/>
      <x:c r="H92" s="2"/>
      <x:c r="I92" s="2"/>
      <x:c r="J92" s="2"/>
    </x:row>
    <x:row r="93" ht="21" customHeight="1">
      <x:c r="A93" s="2"/>
      <x:c r="B93" s="2"/>
      <x:c r="C93" s="34" t="str">
        <x:v>Downside</x:v>
      </x:c>
      <x:c r="D93" s="35" t="n">
        <x:v>0.95</x:v>
      </x:c>
      <x:c r="E93" s="36"/>
      <x:c r="F93" s="2"/>
      <x:c r="G93" s="2"/>
      <x:c r="H93" s="2"/>
      <x:c r="I93" s="2"/>
      <x:c r="J93" s="2"/>
    </x:row>
    <x:row r="94" ht="21" customHeight="1">
      <x:c r="A94" s="2"/>
      <x:c r="B94" s="2"/>
      <x:c r="C94" s="24" t="str">
        <x:v>Self-service heating/power per wash</x:v>
      </x:c>
      <x:c r="D94" s="26" t="n">
        <x:f>IF($D$5=1,IF(ISNUMBER(D95),IF(AND(D95&gt;=0,D95&lt;=1000000000000),D95,"n.a."),"n.a."),IF($D$5=2,IF(ISNUMBER(D96),IF(AND(D96&gt;=0,D96&lt;=1000000000000),D96,"n.a."),"n.a."),"n.a."))</x:f>
        <x:v>0.65</x:v>
      </x:c>
      <x:c r="E94" s="22" t="str">
        <x:v>USD</x:v>
      </x:c>
      <x:c r="F94" s="2"/>
      <x:c r="G94" s="2"/>
      <x:c r="H94" s="2"/>
      <x:c r="I94" s="2"/>
      <x:c r="J94" s="2"/>
    </x:row>
    <x:row r="95" ht="21" customHeight="1">
      <x:c r="A95" s="2"/>
      <x:c r="B95" s="2"/>
      <x:c r="C95" s="28" t="str">
        <x:v>Base</x:v>
      </x:c>
      <x:c r="D95" s="27" t="n">
        <x:v>0.65</x:v>
      </x:c>
      <x:c r="E95" s="2"/>
      <x:c r="F95" s="2"/>
      <x:c r="G95" s="2"/>
      <x:c r="H95" s="2"/>
      <x:c r="I95" s="2"/>
      <x:c r="J95" s="2"/>
    </x:row>
    <x:row r="96" ht="21" customHeight="1">
      <x:c r="A96" s="2"/>
      <x:c r="B96" s="2"/>
      <x:c r="C96" s="28" t="str">
        <x:v>Downside</x:v>
      </x:c>
      <x:c r="D96" s="27" t="n">
        <x:v>0.65</x:v>
      </x:c>
      <x:c r="E96" s="2"/>
      <x:c r="F96" s="2"/>
      <x:c r="G96" s="2"/>
      <x:c r="H96" s="2"/>
      <x:c r="I96" s="2"/>
      <x:c r="J96" s="2"/>
    </x:row>
    <x:row r="97" ht="21" customHeight="1">
      <x:c r="A97" s="2"/>
      <x:c r="B97" s="2"/>
      <x:c r="C97" s="24" t="str">
        <x:v>All incremental wash/fold cost per pound</x:v>
      </x:c>
      <x:c r="D97" s="26" t="n">
        <x:f>IF($D$5=1,IF(ISNUMBER(D98),IF(AND(D98&gt;=0,D98&lt;=1000000000000),D98,"n.a."),"n.a."),IF($D$5=2,IF(ISNUMBER(D99),IF(AND(D99&gt;=0,D99&lt;=1000000000000),D99,"n.a."),"n.a."),"n.a."))</x:f>
        <x:v>0.85</x:v>
      </x:c>
      <x:c r="E97" s="22" t="str">
        <x:v>USD</x:v>
      </x:c>
      <x:c r="F97" s="2"/>
      <x:c r="G97" s="2"/>
      <x:c r="H97" s="2"/>
      <x:c r="I97" s="2"/>
      <x:c r="J97" s="2"/>
    </x:row>
    <x:row r="98" ht="21" customHeight="1">
      <x:c r="A98" s="2"/>
      <x:c r="B98" s="2"/>
      <x:c r="C98" s="28" t="str">
        <x:v>Base</x:v>
      </x:c>
      <x:c r="D98" s="27" t="n">
        <x:v>0.85</x:v>
      </x:c>
      <x:c r="E98" s="2"/>
      <x:c r="F98" s="2"/>
      <x:c r="G98" s="2"/>
      <x:c r="H98" s="2"/>
      <x:c r="I98" s="2"/>
      <x:c r="J98" s="2"/>
    </x:row>
    <x:row r="99" ht="21" customHeight="1">
      <x:c r="A99" s="2"/>
      <x:c r="B99" s="2"/>
      <x:c r="C99" s="28" t="str">
        <x:v>Downside</x:v>
      </x:c>
      <x:c r="D99" s="27" t="n">
        <x:v>0.85</x:v>
      </x:c>
      <x:c r="E99" s="2"/>
      <x:c r="F99" s="2"/>
      <x:c r="G99" s="2"/>
      <x:c r="H99" s="2"/>
      <x:c r="I99" s="2"/>
      <x:c r="J99" s="2"/>
    </x:row>
    <x:row r="100" ht="21" customHeight="1">
      <x:c r="A100" s="2"/>
      <x:c r="B100" s="2"/>
      <x:c r="C100" s="24" t="str">
        <x:v>Monthly dryer energy and repairs</x:v>
      </x:c>
      <x:c r="D100" s="26" t="n">
        <x:f>IF($D$5=1,IF(ISNUMBER(D101),IF(AND(D101&gt;=0,D101&lt;=1000000000000),D101,"n.a."),"n.a."),IF($D$5=2,IF(ISNUMBER(D102),IF(AND(D102&gt;=0,D102&lt;=1000000000000),D102,"n.a."),"n.a."),"n.a."))</x:f>
        <x:v>4800</x:v>
      </x:c>
      <x:c r="E100" s="22" t="str">
        <x:v>USD</x:v>
      </x:c>
      <x:c r="F100" s="2"/>
      <x:c r="G100" s="2"/>
      <x:c r="H100" s="2"/>
      <x:c r="I100" s="2"/>
      <x:c r="J100" s="2"/>
    </x:row>
    <x:row r="101" ht="21" customHeight="1">
      <x:c r="A101" s="2"/>
      <x:c r="B101" s="2"/>
      <x:c r="C101" s="28" t="str">
        <x:v>Base</x:v>
      </x:c>
      <x:c r="D101" s="27" t="n">
        <x:v>4800</x:v>
      </x:c>
      <x:c r="E101" s="2"/>
      <x:c r="F101" s="2"/>
      <x:c r="G101" s="2"/>
      <x:c r="H101" s="2"/>
      <x:c r="I101" s="2"/>
      <x:c r="J101" s="2"/>
    </x:row>
    <x:row r="102" ht="21" customHeight="1">
      <x:c r="A102" s="2"/>
      <x:c r="B102" s="2"/>
      <x:c r="C102" s="28" t="str">
        <x:v>Downside</x:v>
      </x:c>
      <x:c r="D102" s="27" t="n">
        <x:v>4800</x:v>
      </x:c>
      <x:c r="E102" s="2"/>
      <x:c r="F102" s="2"/>
      <x:c r="G102" s="2"/>
      <x:c r="H102" s="2"/>
      <x:c r="I102" s="2"/>
      <x:c r="J102" s="2"/>
    </x:row>
    <x:row r="103" ht="21" customHeight="1">
      <x:c r="A103" s="2"/>
      <x:c r="B103" s="2"/>
      <x:c r="C103" s="2"/>
      <x:c r="D103" s="2"/>
      <x:c r="E103" s="2"/>
      <x:c r="F103" s="2"/>
      <x:c r="G103" s="2"/>
      <x:c r="H103" s="2"/>
      <x:c r="I103" s="2"/>
      <x:c r="J103" s="2"/>
    </x:row>
    <x:row r="104" ht="21" customHeight="1">
      <x:c r="A104" s="2"/>
      <x:c r="B104" s="2"/>
      <x:c r="C104" s="2"/>
      <x:c r="D104" s="2"/>
      <x:c r="E104" s="2"/>
      <x:c r="F104" s="2"/>
      <x:c r="G104" s="2"/>
      <x:c r="H104" s="2"/>
      <x:c r="I104" s="2"/>
      <x:c r="J104" s="2"/>
    </x:row>
    <x:row r="105" ht="21" customHeight="1">
      <x:c r="A105" s="2"/>
      <x:c r="B105" s="2"/>
      <x:c r="C105" s="2"/>
      <x:c r="D105" s="2"/>
      <x:c r="E105" s="2"/>
      <x:c r="F105" s="2"/>
      <x:c r="G105" s="2"/>
      <x:c r="H105" s="2"/>
      <x:c r="I105" s="2"/>
      <x:c r="J105" s="2"/>
    </x:row>
    <x:row r="106" ht="21" customHeight="1">
      <x:c r="A106" s="2"/>
      <x:c r="B106" s="2"/>
      <x:c r="C106" s="2"/>
      <x:c r="D106" s="2"/>
      <x:c r="E106" s="2"/>
      <x:c r="F106" s="2"/>
      <x:c r="G106" s="2"/>
      <x:c r="H106" s="2"/>
      <x:c r="I106" s="2"/>
      <x:c r="J106" s="2"/>
    </x:row>
    <x:row r="107" ht="21" customHeight="1">
      <x:c r="A107" s="2"/>
      <x:c r="B107" s="2"/>
      <x:c r="C107" s="2"/>
      <x:c r="D107" s="2"/>
      <x:c r="E107" s="2"/>
      <x:c r="F107" s="2"/>
      <x:c r="G107" s="2"/>
      <x:c r="H107" s="2"/>
      <x:c r="I107" s="2"/>
      <x:c r="J107" s="2"/>
    </x:row>
    <x:row r="108" ht="21" customHeight="1">
      <x:c r="A108" s="2"/>
      <x:c r="B108" s="2"/>
      <x:c r="C108" s="2"/>
      <x:c r="D108" s="2"/>
      <x:c r="E108" s="2"/>
      <x:c r="F108" s="2"/>
      <x:c r="G108" s="2"/>
      <x:c r="H108" s="2"/>
      <x:c r="I108" s="2"/>
      <x:c r="J108" s="2"/>
    </x:row>
  </x:sheetData>
  <x:dataValidations count="64">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x:formula2>
    </x:dataValidation>
    <x:dataValidation type="decimal" operator="between" sqref="D90">
      <x:formula1>0</x:formula1>
      <x:formula2>100</x:formula2>
    </x:dataValidation>
    <x:dataValidation type="decimal" operator="between" sqref="D92">
      <x:formula1>0</x:formula1>
      <x:formula2>1</x:formula2>
    </x:dataValidation>
    <x:dataValidation type="decimal" operator="between" sqref="D93">
      <x:formula1>0</x:formula1>
      <x:formula2>1</x:formula2>
    </x:dataValidation>
    <x:dataValidation type="decimal" operator="between" sqref="D95">
      <x:formula1>0</x:formula1>
      <x:formula2>1000000000000</x:formula2>
    </x:dataValidation>
    <x:dataValidation type="decimal" operator="between" sqref="D96">
      <x:formula1>0</x:formula1>
      <x:formula2>1000000000000</x:formula2>
    </x:dataValidation>
    <x:dataValidation type="decimal" operator="between" sqref="D98">
      <x:formula1>0</x:formula1>
      <x:formula2>1000000000000</x:formula2>
    </x:dataValidation>
    <x:dataValidation type="decimal" operator="between" sqref="D99">
      <x:formula1>0</x:formula1>
      <x:formula2>1000000000000</x:formula2>
    </x:dataValidation>
    <x:dataValidation type="decimal" operator="between" sqref="D101">
      <x:formula1>0</x:formula1>
      <x:formula2>1000000000000</x:formula2>
    </x:dataValidation>
    <x:dataValidation type="decimal" operator="between" sqref="D102">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Machine and Laundry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Operating washers</x:v>
      </x:c>
      <x:c r="E9" s="21" t="str">
        <x:v>Requested cycles / washer / day</x:v>
      </x:c>
      <x:c r="F9" s="21" t="str">
        <x:v>Wash vend price</x:v>
      </x:c>
      <x:c r="G9" s="21" t="str">
        <x:v>Monthly dryer collections</x:v>
      </x:c>
      <x:c r="H9" s="21" t="str">
        <x:v>Wash-and-fold pounds</x:v>
      </x:c>
      <x:c r="I9" s="21" t="str">
        <x:v>Price / wash-and-fold pound</x:v>
      </x:c>
      <x:c r="J9" s="21" t="str">
        <x:v>Water gallons / wash cycle</x:v>
      </x:c>
      <x:c r="K9" s="21" t="str">
        <x:v>Water/sewer cost / gallon</x:v>
      </x:c>
      <x:c r="L9" s="21" t="str">
        <x:v>Attendant payroll cash</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45</x:v>
      </x:c>
      <x:c r="E10" s="16" t="n">
        <x:v>3.5</x:v>
      </x:c>
      <x:c r="F10" s="27" t="n">
        <x:v>6.5</x:v>
      </x:c>
      <x:c r="G10" s="27" t="n">
        <x:v>17500</x:v>
      </x:c>
      <x:c r="H10" s="16" t="n">
        <x:v>8000</x:v>
      </x:c>
      <x:c r="I10" s="27" t="n">
        <x:v>1.8</x:v>
      </x:c>
      <x:c r="J10" s="16" t="n">
        <x:v>22</x:v>
      </x:c>
      <x:c r="K10" s="27" t="n">
        <x:v>0.016</x:v>
      </x:c>
      <x:c r="L10" s="27" t="n">
        <x:v>16000</x:v>
      </x:c>
      <x:c r="M10" s="27" t="n">
        <x:v>0</x:v>
      </x:c>
      <x:c r="N10" s="13" t="str">
        <x:f>IF(AND(IF(ISNUMBER(D10),AND(D10&gt;=0,D10&lt;=1000000000000),FALSE),IF(ISNUMBER(E10),AND(E10&gt;=0,E10&lt;=1000000000000),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45</x:v>
      </x:c>
      <x:c r="E11" s="16" t="n">
        <x:v>3.5</x:v>
      </x:c>
      <x:c r="F11" s="27" t="n">
        <x:v>6.5</x:v>
      </x:c>
      <x:c r="G11" s="27" t="n">
        <x:v>17500</x:v>
      </x:c>
      <x:c r="H11" s="16" t="n">
        <x:v>8000</x:v>
      </x:c>
      <x:c r="I11" s="27" t="n">
        <x:v>1.8</x:v>
      </x:c>
      <x:c r="J11" s="16" t="n">
        <x:v>22</x:v>
      </x:c>
      <x:c r="K11" s="27" t="n">
        <x:v>0.016</x:v>
      </x:c>
      <x:c r="L11" s="27" t="n">
        <x:v>16000</x:v>
      </x:c>
      <x:c r="M11" s="27" t="n">
        <x:v>0</x:v>
      </x:c>
      <x:c r="N11" s="13" t="str">
        <x:f>IF(AND(IF(ISNUMBER(D11),AND(D11&gt;=0,D11&lt;=1000000000000),FALSE),IF(ISNUMBER(E11),AND(E11&gt;=0,E11&lt;=1000000000000),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45</x:v>
      </x:c>
      <x:c r="E12" s="16" t="n">
        <x:v>3.5</x:v>
      </x:c>
      <x:c r="F12" s="27" t="n">
        <x:v>6.5</x:v>
      </x:c>
      <x:c r="G12" s="27" t="n">
        <x:v>17500</x:v>
      </x:c>
      <x:c r="H12" s="16" t="n">
        <x:v>8000</x:v>
      </x:c>
      <x:c r="I12" s="27" t="n">
        <x:v>1.8</x:v>
      </x:c>
      <x:c r="J12" s="16" t="n">
        <x:v>22</x:v>
      </x:c>
      <x:c r="K12" s="27" t="n">
        <x:v>0.016</x:v>
      </x:c>
      <x:c r="L12" s="27" t="n">
        <x:v>16000</x:v>
      </x:c>
      <x:c r="M12" s="27" t="n">
        <x:v>0</x:v>
      </x:c>
      <x:c r="N12" s="13" t="str">
        <x:f>IF(AND(IF(ISNUMBER(D12),AND(D12&gt;=0,D12&lt;=1000000000000),FALSE),IF(ISNUMBER(E12),AND(E12&gt;=0,E12&lt;=1000000000000),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45</x:v>
      </x:c>
      <x:c r="E13" s="16" t="n">
        <x:v>3.5</x:v>
      </x:c>
      <x:c r="F13" s="27" t="n">
        <x:v>6.5</x:v>
      </x:c>
      <x:c r="G13" s="27" t="n">
        <x:v>17500</x:v>
      </x:c>
      <x:c r="H13" s="16" t="n">
        <x:v>8000</x:v>
      </x:c>
      <x:c r="I13" s="27" t="n">
        <x:v>1.8</x:v>
      </x:c>
      <x:c r="J13" s="16" t="n">
        <x:v>22</x:v>
      </x:c>
      <x:c r="K13" s="27" t="n">
        <x:v>0.016</x:v>
      </x:c>
      <x:c r="L13" s="27" t="n">
        <x:v>16000</x:v>
      </x:c>
      <x:c r="M13" s="27" t="n">
        <x:v>0</x:v>
      </x:c>
      <x:c r="N13" s="13" t="str">
        <x:f>IF(AND(IF(ISNUMBER(D13),AND(D13&gt;=0,D13&lt;=1000000000000),FALSE),IF(ISNUMBER(E13),AND(E13&gt;=0,E13&lt;=1000000000000),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45</x:v>
      </x:c>
      <x:c r="E14" s="16" t="n">
        <x:v>3.5</x:v>
      </x:c>
      <x:c r="F14" s="27" t="n">
        <x:v>6.5</x:v>
      </x:c>
      <x:c r="G14" s="27" t="n">
        <x:v>17500</x:v>
      </x:c>
      <x:c r="H14" s="16" t="n">
        <x:v>8000</x:v>
      </x:c>
      <x:c r="I14" s="27" t="n">
        <x:v>1.8</x:v>
      </x:c>
      <x:c r="J14" s="16" t="n">
        <x:v>22</x:v>
      </x:c>
      <x:c r="K14" s="27" t="n">
        <x:v>0.016</x:v>
      </x:c>
      <x:c r="L14" s="27" t="n">
        <x:v>16000</x:v>
      </x:c>
      <x:c r="M14" s="27" t="n">
        <x:v>0</x:v>
      </x:c>
      <x:c r="N14" s="13" t="str">
        <x:f>IF(AND(IF(ISNUMBER(D14),AND(D14&gt;=0,D14&lt;=1000000000000),FALSE),IF(ISNUMBER(E14),AND(E14&gt;=0,E14&lt;=1000000000000),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45</x:v>
      </x:c>
      <x:c r="E15" s="16" t="n">
        <x:v>3.5</x:v>
      </x:c>
      <x:c r="F15" s="27" t="n">
        <x:v>6.5</x:v>
      </x:c>
      <x:c r="G15" s="27" t="n">
        <x:v>17500</x:v>
      </x:c>
      <x:c r="H15" s="16" t="n">
        <x:v>8000</x:v>
      </x:c>
      <x:c r="I15" s="27" t="n">
        <x:v>1.8</x:v>
      </x:c>
      <x:c r="J15" s="16" t="n">
        <x:v>22</x:v>
      </x:c>
      <x:c r="K15" s="27" t="n">
        <x:v>0.016</x:v>
      </x:c>
      <x:c r="L15" s="27" t="n">
        <x:v>16000</x:v>
      </x:c>
      <x:c r="M15" s="27" t="n">
        <x:v>0</x:v>
      </x:c>
      <x:c r="N15" s="13" t="str">
        <x:f>IF(AND(IF(ISNUMBER(D15),AND(D15&gt;=0,D15&lt;=1000000000000),FALSE),IF(ISNUMBER(E15),AND(E15&gt;=0,E15&lt;=1000000000000),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45</x:v>
      </x:c>
      <x:c r="E16" s="16" t="n">
        <x:v>3.5</x:v>
      </x:c>
      <x:c r="F16" s="27" t="n">
        <x:v>6.5</x:v>
      </x:c>
      <x:c r="G16" s="27" t="n">
        <x:v>17500</x:v>
      </x:c>
      <x:c r="H16" s="16" t="n">
        <x:v>8000</x:v>
      </x:c>
      <x:c r="I16" s="27" t="n">
        <x:v>1.8</x:v>
      </x:c>
      <x:c r="J16" s="16" t="n">
        <x:v>22</x:v>
      </x:c>
      <x:c r="K16" s="27" t="n">
        <x:v>0.016</x:v>
      </x:c>
      <x:c r="L16" s="27" t="n">
        <x:v>16000</x:v>
      </x:c>
      <x:c r="M16" s="27" t="n">
        <x:v>0</x:v>
      </x:c>
      <x:c r="N16" s="13" t="str">
        <x:f>IF(AND(IF(ISNUMBER(D16),AND(D16&gt;=0,D16&lt;=1000000000000),FALSE),IF(ISNUMBER(E16),AND(E16&gt;=0,E16&lt;=1000000000000),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45</x:v>
      </x:c>
      <x:c r="E17" s="16" t="n">
        <x:v>3.5</x:v>
      </x:c>
      <x:c r="F17" s="27" t="n">
        <x:v>6.5</x:v>
      </x:c>
      <x:c r="G17" s="27" t="n">
        <x:v>17500</x:v>
      </x:c>
      <x:c r="H17" s="16" t="n">
        <x:v>8000</x:v>
      </x:c>
      <x:c r="I17" s="27" t="n">
        <x:v>1.8</x:v>
      </x:c>
      <x:c r="J17" s="16" t="n">
        <x:v>22</x:v>
      </x:c>
      <x:c r="K17" s="27" t="n">
        <x:v>0.016</x:v>
      </x:c>
      <x:c r="L17" s="27" t="n">
        <x:v>16000</x:v>
      </x:c>
      <x:c r="M17" s="27" t="n">
        <x:v>0</x:v>
      </x:c>
      <x:c r="N17" s="13" t="str">
        <x:f>IF(AND(IF(ISNUMBER(D17),AND(D17&gt;=0,D17&lt;=1000000000000),FALSE),IF(ISNUMBER(E17),AND(E17&gt;=0,E17&lt;=1000000000000),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45</x:v>
      </x:c>
      <x:c r="E18" s="16" t="n">
        <x:v>3.5</x:v>
      </x:c>
      <x:c r="F18" s="27" t="n">
        <x:v>6.5</x:v>
      </x:c>
      <x:c r="G18" s="27" t="n">
        <x:v>17500</x:v>
      </x:c>
      <x:c r="H18" s="16" t="n">
        <x:v>8000</x:v>
      </x:c>
      <x:c r="I18" s="27" t="n">
        <x:v>1.8</x:v>
      </x:c>
      <x:c r="J18" s="16" t="n">
        <x:v>22</x:v>
      </x:c>
      <x:c r="K18" s="27" t="n">
        <x:v>0.016</x:v>
      </x:c>
      <x:c r="L18" s="27" t="n">
        <x:v>16000</x:v>
      </x:c>
      <x:c r="M18" s="27" t="n">
        <x:v>0</x:v>
      </x:c>
      <x:c r="N18" s="13" t="str">
        <x:f>IF(AND(IF(ISNUMBER(D18),AND(D18&gt;=0,D18&lt;=1000000000000),FALSE),IF(ISNUMBER(E18),AND(E18&gt;=0,E18&lt;=1000000000000),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45</x:v>
      </x:c>
      <x:c r="E19" s="16" t="n">
        <x:v>3.5</x:v>
      </x:c>
      <x:c r="F19" s="27" t="n">
        <x:v>6.5</x:v>
      </x:c>
      <x:c r="G19" s="27" t="n">
        <x:v>17500</x:v>
      </x:c>
      <x:c r="H19" s="16" t="n">
        <x:v>8000</x:v>
      </x:c>
      <x:c r="I19" s="27" t="n">
        <x:v>1.8</x:v>
      </x:c>
      <x:c r="J19" s="16" t="n">
        <x:v>22</x:v>
      </x:c>
      <x:c r="K19" s="27" t="n">
        <x:v>0.016</x:v>
      </x:c>
      <x:c r="L19" s="27" t="n">
        <x:v>16000</x:v>
      </x:c>
      <x:c r="M19" s="27" t="n">
        <x:v>110000</x:v>
      </x:c>
      <x:c r="N19" s="13" t="str">
        <x:f>IF(AND(IF(ISNUMBER(D19),AND(D19&gt;=0,D19&lt;=1000000000000),FALSE),IF(ISNUMBER(E19),AND(E19&gt;=0,E19&lt;=1000000000000),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45</x:v>
      </x:c>
      <x:c r="E20" s="16" t="n">
        <x:v>3.5</x:v>
      </x:c>
      <x:c r="F20" s="27" t="n">
        <x:v>6.5</x:v>
      </x:c>
      <x:c r="G20" s="27" t="n">
        <x:v>17500</x:v>
      </x:c>
      <x:c r="H20" s="16" t="n">
        <x:v>8000</x:v>
      </x:c>
      <x:c r="I20" s="27" t="n">
        <x:v>1.8</x:v>
      </x:c>
      <x:c r="J20" s="16" t="n">
        <x:v>22</x:v>
      </x:c>
      <x:c r="K20" s="27" t="n">
        <x:v>0.016</x:v>
      </x:c>
      <x:c r="L20" s="27" t="n">
        <x:v>16000</x:v>
      </x:c>
      <x:c r="M20" s="27" t="n">
        <x:v>0</x:v>
      </x:c>
      <x:c r="N20" s="13" t="str">
        <x:f>IF(AND(IF(ISNUMBER(D20),AND(D20&gt;=0,D20&lt;=1000000000000),FALSE),IF(ISNUMBER(E20),AND(E20&gt;=0,E20&lt;=1000000000000),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45</x:v>
      </x:c>
      <x:c r="E21" s="16" t="n">
        <x:v>3.5</x:v>
      </x:c>
      <x:c r="F21" s="27" t="n">
        <x:v>6.5</x:v>
      </x:c>
      <x:c r="G21" s="27" t="n">
        <x:v>17500</x:v>
      </x:c>
      <x:c r="H21" s="16" t="n">
        <x:v>8000</x:v>
      </x:c>
      <x:c r="I21" s="27" t="n">
        <x:v>1.8</x:v>
      </x:c>
      <x:c r="J21" s="16" t="n">
        <x:v>22</x:v>
      </x:c>
      <x:c r="K21" s="27" t="n">
        <x:v>0.016</x:v>
      </x:c>
      <x:c r="L21" s="27" t="n">
        <x:v>16000</x:v>
      </x:c>
      <x:c r="M21" s="27" t="n">
        <x:v>0</x:v>
      </x:c>
      <x:c r="N21" s="13" t="str">
        <x:f>IF(AND(IF(ISNUMBER(D21),AND(D21&gt;=0,D21&lt;=1000000000000),FALSE),IF(ISNUMBER(E21),AND(E21&gt;=0,E21&lt;=1000000000000),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Paid wash cycles within capacity</x:v>
      </x:c>
      <x:c r="D10" s="2" t="str">
        <x:v>cycles</x:v>
      </x:c>
      <x:c r="E10" s="49" t="n">
        <x:f>IF(COUNT(G10:R10)=12,SUM(G10:R10),"n.a.")</x:f>
        <x:v>57487.5</x:v>
      </x:c>
      <x:c r="F10" s="2"/>
      <x:c r="G10" s="48" t="n">
        <x:f>IF(AND('Machine and Laundry Cash'!N10="OK"),IF(AND(ISNUMBER('Machine and Laundry Cash'!$D$10),ISNUMBER('Machine and Laundry Cash'!$E$10),ISNUMBER('Assumptions'!$D$61),ISNUMBER('Assumptions'!$D$88),ISNUMBER(G$9)),'Machine and Laundry Cash'!$D$10*MIN('Machine and Laundry Cash'!$E$10*'Assumptions'!$D$61,'Assumptions'!$D$88)*DAY(EOMONTH(G$9,0)),"n.a."),"n.a.")</x:f>
        <x:v>4882.5</x:v>
      </x:c>
      <x:c r="H10" s="48" t="n">
        <x:f>IF(AND('Machine and Laundry Cash'!N11="OK"),IF(AND(ISNUMBER('Machine and Laundry Cash'!$D$11),ISNUMBER('Machine and Laundry Cash'!$E$11),ISNUMBER('Assumptions'!$D$61),ISNUMBER('Assumptions'!$D$88),ISNUMBER(H$9)),'Machine and Laundry Cash'!$D$11*MIN('Machine and Laundry Cash'!$E$11*'Assumptions'!$D$61,'Assumptions'!$D$88)*DAY(EOMONTH(H$9,0)),"n.a."),"n.a.")</x:f>
        <x:v>4410</x:v>
      </x:c>
      <x:c r="I10" s="48" t="n">
        <x:f>IF(AND('Machine and Laundry Cash'!N12="OK"),IF(AND(ISNUMBER('Machine and Laundry Cash'!$D$12),ISNUMBER('Machine and Laundry Cash'!$E$12),ISNUMBER('Assumptions'!$D$61),ISNUMBER('Assumptions'!$D$88),ISNUMBER(I$9)),'Machine and Laundry Cash'!$D$12*MIN('Machine and Laundry Cash'!$E$12*'Assumptions'!$D$61,'Assumptions'!$D$88)*DAY(EOMONTH(I$9,0)),"n.a."),"n.a.")</x:f>
        <x:v>4882.5</x:v>
      </x:c>
      <x:c r="J10" s="48" t="n">
        <x:f>IF(AND('Machine and Laundry Cash'!N13="OK"),IF(AND(ISNUMBER('Machine and Laundry Cash'!$D$13),ISNUMBER('Machine and Laundry Cash'!$E$13),ISNUMBER('Assumptions'!$D$61),ISNUMBER('Assumptions'!$D$88),ISNUMBER(J$9)),'Machine and Laundry Cash'!$D$13*MIN('Machine and Laundry Cash'!$E$13*'Assumptions'!$D$61,'Assumptions'!$D$88)*DAY(EOMONTH(J$9,0)),"n.a."),"n.a.")</x:f>
        <x:v>4725</x:v>
      </x:c>
      <x:c r="K10" s="48" t="n">
        <x:f>IF(AND('Machine and Laundry Cash'!N14="OK"),IF(AND(ISNUMBER('Machine and Laundry Cash'!$D$14),ISNUMBER('Machine and Laundry Cash'!$E$14),ISNUMBER('Assumptions'!$D$61),ISNUMBER('Assumptions'!$D$88),ISNUMBER(K$9)),'Machine and Laundry Cash'!$D$14*MIN('Machine and Laundry Cash'!$E$14*'Assumptions'!$D$61,'Assumptions'!$D$88)*DAY(EOMONTH(K$9,0)),"n.a."),"n.a.")</x:f>
        <x:v>4882.5</x:v>
      </x:c>
      <x:c r="L10" s="48" t="n">
        <x:f>IF(AND('Machine and Laundry Cash'!N15="OK"),IF(AND(ISNUMBER('Machine and Laundry Cash'!$D$15),ISNUMBER('Machine and Laundry Cash'!$E$15),ISNUMBER('Assumptions'!$D$61),ISNUMBER('Assumptions'!$D$88),ISNUMBER(L$9)),'Machine and Laundry Cash'!$D$15*MIN('Machine and Laundry Cash'!$E$15*'Assumptions'!$D$61,'Assumptions'!$D$88)*DAY(EOMONTH(L$9,0)),"n.a."),"n.a.")</x:f>
        <x:v>4725</x:v>
      </x:c>
      <x:c r="M10" s="48" t="n">
        <x:f>IF(AND('Machine and Laundry Cash'!N16="OK"),IF(AND(ISNUMBER('Machine and Laundry Cash'!$D$16),ISNUMBER('Machine and Laundry Cash'!$E$16),ISNUMBER('Assumptions'!$D$61),ISNUMBER('Assumptions'!$D$88),ISNUMBER(M$9)),'Machine and Laundry Cash'!$D$16*MIN('Machine and Laundry Cash'!$E$16*'Assumptions'!$D$61,'Assumptions'!$D$88)*DAY(EOMONTH(M$9,0)),"n.a."),"n.a.")</x:f>
        <x:v>4882.5</x:v>
      </x:c>
      <x:c r="N10" s="48" t="n">
        <x:f>IF(AND('Machine and Laundry Cash'!N17="OK"),IF(AND(ISNUMBER('Machine and Laundry Cash'!$D$17),ISNUMBER('Machine and Laundry Cash'!$E$17),ISNUMBER('Assumptions'!$D$61),ISNUMBER('Assumptions'!$D$88),ISNUMBER(N$9)),'Machine and Laundry Cash'!$D$17*MIN('Machine and Laundry Cash'!$E$17*'Assumptions'!$D$61,'Assumptions'!$D$88)*DAY(EOMONTH(N$9,0)),"n.a."),"n.a.")</x:f>
        <x:v>4882.5</x:v>
      </x:c>
      <x:c r="O10" s="48" t="n">
        <x:f>IF(AND('Machine and Laundry Cash'!N18="OK"),IF(AND(ISNUMBER('Machine and Laundry Cash'!$D$18),ISNUMBER('Machine and Laundry Cash'!$E$18),ISNUMBER('Assumptions'!$D$61),ISNUMBER('Assumptions'!$D$88),ISNUMBER(O$9)),'Machine and Laundry Cash'!$D$18*MIN('Machine and Laundry Cash'!$E$18*'Assumptions'!$D$61,'Assumptions'!$D$88)*DAY(EOMONTH(O$9,0)),"n.a."),"n.a.")</x:f>
        <x:v>4725</x:v>
      </x:c>
      <x:c r="P10" s="48" t="n">
        <x:f>IF(AND('Machine and Laundry Cash'!N19="OK"),IF(AND(ISNUMBER('Machine and Laundry Cash'!$D$19),ISNUMBER('Machine and Laundry Cash'!$E$19),ISNUMBER('Assumptions'!$D$61),ISNUMBER('Assumptions'!$D$88),ISNUMBER(P$9)),'Machine and Laundry Cash'!$D$19*MIN('Machine and Laundry Cash'!$E$19*'Assumptions'!$D$61,'Assumptions'!$D$88)*DAY(EOMONTH(P$9,0)),"n.a."),"n.a.")</x:f>
        <x:v>4882.5</x:v>
      </x:c>
      <x:c r="Q10" s="48" t="n">
        <x:f>IF(AND('Machine and Laundry Cash'!N20="OK"),IF(AND(ISNUMBER('Machine and Laundry Cash'!$D$20),ISNUMBER('Machine and Laundry Cash'!$E$20),ISNUMBER('Assumptions'!$D$61),ISNUMBER('Assumptions'!$D$88),ISNUMBER(Q$9)),'Machine and Laundry Cash'!$D$20*MIN('Machine and Laundry Cash'!$E$20*'Assumptions'!$D$61,'Assumptions'!$D$88)*DAY(EOMONTH(Q$9,0)),"n.a."),"n.a.")</x:f>
        <x:v>4725</x:v>
      </x:c>
      <x:c r="R10" s="48" t="n">
        <x:f>IF(AND('Machine and Laundry Cash'!N21="OK"),IF(AND(ISNUMBER('Machine and Laundry Cash'!$D$21),ISNUMBER('Machine and Laundry Cash'!$E$21),ISNUMBER('Assumptions'!$D$61),ISNUMBER('Assumptions'!$D$88),ISNUMBER(R$9)),'Machine and Laundry Cash'!$D$21*MIN('Machine and Laundry Cash'!$E$21*'Assumptions'!$D$61,'Assumptions'!$D$88)*DAY(EOMONTH(R$9,0)),"n.a."),"n.a.")</x:f>
        <x:v>4882.5</x:v>
      </x:c>
    </x:row>
    <x:row r="11" ht="21" customHeight="1">
      <x:c r="A11" s="2"/>
      <x:c r="B11" s="2"/>
      <x:c r="C11" s="2" t="str">
        <x:v>Wash-and-fold volume</x:v>
      </x:c>
      <x:c r="D11" s="2" t="str">
        <x:v>pounds</x:v>
      </x:c>
      <x:c r="E11" s="49" t="n">
        <x:f>IF(COUNT(G11:R11)=12,SUM(G11:R11),"n.a.")</x:f>
        <x:v>96000</x:v>
      </x:c>
      <x:c r="F11" s="2"/>
      <x:c r="G11" s="48" t="n">
        <x:f>IF(AND('Machine and Laundry Cash'!N10="OK"),IF(AND(ISNUMBER('Machine and Laundry Cash'!$H$10),ISNUMBER('Assumptions'!$D$61)),'Machine and Laundry Cash'!$H$10*'Assumptions'!$D$61,"n.a."),"n.a.")</x:f>
        <x:v>8000</x:v>
      </x:c>
      <x:c r="H11" s="48" t="n">
        <x:f>IF(AND('Machine and Laundry Cash'!N11="OK"),IF(AND(ISNUMBER('Machine and Laundry Cash'!$H$11),ISNUMBER('Assumptions'!$D$61)),'Machine and Laundry Cash'!$H$11*'Assumptions'!$D$61,"n.a."),"n.a.")</x:f>
        <x:v>8000</x:v>
      </x:c>
      <x:c r="I11" s="48" t="n">
        <x:f>IF(AND('Machine and Laundry Cash'!N12="OK"),IF(AND(ISNUMBER('Machine and Laundry Cash'!$H$12),ISNUMBER('Assumptions'!$D$61)),'Machine and Laundry Cash'!$H$12*'Assumptions'!$D$61,"n.a."),"n.a.")</x:f>
        <x:v>8000</x:v>
      </x:c>
      <x:c r="J11" s="48" t="n">
        <x:f>IF(AND('Machine and Laundry Cash'!N13="OK"),IF(AND(ISNUMBER('Machine and Laundry Cash'!$H$13),ISNUMBER('Assumptions'!$D$61)),'Machine and Laundry Cash'!$H$13*'Assumptions'!$D$61,"n.a."),"n.a.")</x:f>
        <x:v>8000</x:v>
      </x:c>
      <x:c r="K11" s="48" t="n">
        <x:f>IF(AND('Machine and Laundry Cash'!N14="OK"),IF(AND(ISNUMBER('Machine and Laundry Cash'!$H$14),ISNUMBER('Assumptions'!$D$61)),'Machine and Laundry Cash'!$H$14*'Assumptions'!$D$61,"n.a."),"n.a.")</x:f>
        <x:v>8000</x:v>
      </x:c>
      <x:c r="L11" s="48" t="n">
        <x:f>IF(AND('Machine and Laundry Cash'!N15="OK"),IF(AND(ISNUMBER('Machine and Laundry Cash'!$H$15),ISNUMBER('Assumptions'!$D$61)),'Machine and Laundry Cash'!$H$15*'Assumptions'!$D$61,"n.a."),"n.a.")</x:f>
        <x:v>8000</x:v>
      </x:c>
      <x:c r="M11" s="48" t="n">
        <x:f>IF(AND('Machine and Laundry Cash'!N16="OK"),IF(AND(ISNUMBER('Machine and Laundry Cash'!$H$16),ISNUMBER('Assumptions'!$D$61)),'Machine and Laundry Cash'!$H$16*'Assumptions'!$D$61,"n.a."),"n.a.")</x:f>
        <x:v>8000</x:v>
      </x:c>
      <x:c r="N11" s="48" t="n">
        <x:f>IF(AND('Machine and Laundry Cash'!N17="OK"),IF(AND(ISNUMBER('Machine and Laundry Cash'!$H$17),ISNUMBER('Assumptions'!$D$61)),'Machine and Laundry Cash'!$H$17*'Assumptions'!$D$61,"n.a."),"n.a.")</x:f>
        <x:v>8000</x:v>
      </x:c>
      <x:c r="O11" s="48" t="n">
        <x:f>IF(AND('Machine and Laundry Cash'!N18="OK"),IF(AND(ISNUMBER('Machine and Laundry Cash'!$H$18),ISNUMBER('Assumptions'!$D$61)),'Machine and Laundry Cash'!$H$18*'Assumptions'!$D$61,"n.a."),"n.a.")</x:f>
        <x:v>8000</x:v>
      </x:c>
      <x:c r="P11" s="48" t="n">
        <x:f>IF(AND('Machine and Laundry Cash'!N19="OK"),IF(AND(ISNUMBER('Machine and Laundry Cash'!$H$19),ISNUMBER('Assumptions'!$D$61)),'Machine and Laundry Cash'!$H$19*'Assumptions'!$D$61,"n.a."),"n.a.")</x:f>
        <x:v>8000</x:v>
      </x:c>
      <x:c r="Q11" s="48" t="n">
        <x:f>IF(AND('Machine and Laundry Cash'!N20="OK"),IF(AND(ISNUMBER('Machine and Laundry Cash'!$H$20),ISNUMBER('Assumptions'!$D$61)),'Machine and Laundry Cash'!$H$20*'Assumptions'!$D$61,"n.a."),"n.a.")</x:f>
        <x:v>8000</x:v>
      </x:c>
      <x:c r="R11" s="48" t="n">
        <x:f>IF(AND('Machine and Laundry Cash'!N21="OK"),IF(AND(ISNUMBER('Machine and Laundry Cash'!$H$21),ISNUMBER('Assumptions'!$D$61)),'Machine and Laundry Cash'!$H$21*'Assumptions'!$D$61,"n.a."),"n.a.")</x:f>
        <x:v>8000</x:v>
      </x:c>
    </x:row>
    <x:row r="12" ht="21" customHeight="1">
      <x:c r="A12" s="2"/>
      <x:c r="B12" s="2"/>
      <x:c r="C12" s="2" t="str">
        <x:v>Verified-channel collection proxy</x:v>
      </x:c>
      <x:c r="D12" s="2" t="str">
        <x:v>USD</x:v>
      </x:c>
      <x:c r="E12" s="52" t="n">
        <x:f>IF(COUNT(G12:R12)=12,SUM(G12:R12),"n.a.")</x:f>
        <x:v>748904.0625</x:v>
      </x:c>
      <x:c r="F12" s="2"/>
      <x:c r="G12" s="51" t="n">
        <x:f>IF(AND('Machine and Laundry Cash'!N10="OK"),IF(AND(ISNUMBER(G10),ISNUMBER('Machine and Laundry Cash'!$F$10),ISNUMBER('Machine and Laundry Cash'!$G$10),ISNUMBER('Assumptions'!$D$61),ISNUMBER(G11),ISNUMBER('Machine and Laundry Cash'!$I$10),ISNUMBER('Assumptions'!$D$64),ISNUMBER('Assumptions'!$D$91)),(G10*'Machine and Laundry Cash'!$F$10+'Machine and Laundry Cash'!$G$10*'Assumptions'!$D$61+G11*'Machine and Laundry Cash'!$I$10)*'Assumptions'!$D$64*'Assumptions'!$D$91,"n.a."),"n.a.")</x:f>
        <x:v>62999.8875</x:v>
      </x:c>
      <x:c r="H12" s="51" t="n">
        <x:f>IF(AND('Machine and Laundry Cash'!N11="OK"),IF(AND(ISNUMBER(H10),ISNUMBER('Machine and Laundry Cash'!$F$11),ISNUMBER('Machine and Laundry Cash'!$G$11),ISNUMBER('Assumptions'!$D$61),ISNUMBER(H11),ISNUMBER('Machine and Laundry Cash'!$I$11),ISNUMBER('Assumptions'!$D$64),ISNUMBER('Assumptions'!$D$91)),(H10*'Machine and Laundry Cash'!$F$11+'Machine and Laundry Cash'!$G$11*'Assumptions'!$D$61+H11*'Machine and Laundry Cash'!$I$11)*'Assumptions'!$D$64*'Assumptions'!$D$91,"n.a."),"n.a.")</x:f>
        <x:v>59959.35</x:v>
      </x:c>
      <x:c r="I12" s="51" t="n">
        <x:f>IF(AND('Machine and Laundry Cash'!N12="OK"),IF(AND(ISNUMBER(I10),ISNUMBER('Machine and Laundry Cash'!$F$12),ISNUMBER('Machine and Laundry Cash'!$G$12),ISNUMBER('Assumptions'!$D$61),ISNUMBER(I11),ISNUMBER('Machine and Laundry Cash'!$I$12),ISNUMBER('Assumptions'!$D$64),ISNUMBER('Assumptions'!$D$91)),(I10*'Machine and Laundry Cash'!$F$12+'Machine and Laundry Cash'!$G$12*'Assumptions'!$D$61+I11*'Machine and Laundry Cash'!$I$12)*'Assumptions'!$D$64*'Assumptions'!$D$91,"n.a."),"n.a.")</x:f>
        <x:v>62999.8875</x:v>
      </x:c>
      <x:c r="J12" s="51" t="n">
        <x:f>IF(AND('Machine and Laundry Cash'!N13="OK"),IF(AND(ISNUMBER(J10),ISNUMBER('Machine and Laundry Cash'!$F$13),ISNUMBER('Machine and Laundry Cash'!$G$13),ISNUMBER('Assumptions'!$D$61),ISNUMBER(J11),ISNUMBER('Machine and Laundry Cash'!$I$13),ISNUMBER('Assumptions'!$D$64),ISNUMBER('Assumptions'!$D$91)),(J10*'Machine and Laundry Cash'!$F$13+'Machine and Laundry Cash'!$G$13*'Assumptions'!$D$61+J11*'Machine and Laundry Cash'!$I$13)*'Assumptions'!$D$64*'Assumptions'!$D$91,"n.a."),"n.a.")</x:f>
        <x:v>61986.375</x:v>
      </x:c>
      <x:c r="K12" s="51" t="n">
        <x:f>IF(AND('Machine and Laundry Cash'!N14="OK"),IF(AND(ISNUMBER(K10),ISNUMBER('Machine and Laundry Cash'!$F$14),ISNUMBER('Machine and Laundry Cash'!$G$14),ISNUMBER('Assumptions'!$D$61),ISNUMBER(K11),ISNUMBER('Machine and Laundry Cash'!$I$14),ISNUMBER('Assumptions'!$D$64),ISNUMBER('Assumptions'!$D$91)),(K10*'Machine and Laundry Cash'!$F$14+'Machine and Laundry Cash'!$G$14*'Assumptions'!$D$61+K11*'Machine and Laundry Cash'!$I$14)*'Assumptions'!$D$64*'Assumptions'!$D$91,"n.a."),"n.a.")</x:f>
        <x:v>62999.8875</x:v>
      </x:c>
      <x:c r="L12" s="51" t="n">
        <x:f>IF(AND('Machine and Laundry Cash'!N15="OK"),IF(AND(ISNUMBER(L10),ISNUMBER('Machine and Laundry Cash'!$F$15),ISNUMBER('Machine and Laundry Cash'!$G$15),ISNUMBER('Assumptions'!$D$61),ISNUMBER(L11),ISNUMBER('Machine and Laundry Cash'!$I$15),ISNUMBER('Assumptions'!$D$64),ISNUMBER('Assumptions'!$D$91)),(L10*'Machine and Laundry Cash'!$F$15+'Machine and Laundry Cash'!$G$15*'Assumptions'!$D$61+L11*'Machine and Laundry Cash'!$I$15)*'Assumptions'!$D$64*'Assumptions'!$D$91,"n.a."),"n.a.")</x:f>
        <x:v>61986.375</x:v>
      </x:c>
      <x:c r="M12" s="51" t="n">
        <x:f>IF(AND('Machine and Laundry Cash'!N16="OK"),IF(AND(ISNUMBER(M10),ISNUMBER('Machine and Laundry Cash'!$F$16),ISNUMBER('Machine and Laundry Cash'!$G$16),ISNUMBER('Assumptions'!$D$61),ISNUMBER(M11),ISNUMBER('Machine and Laundry Cash'!$I$16),ISNUMBER('Assumptions'!$D$64),ISNUMBER('Assumptions'!$D$91)),(M10*'Machine and Laundry Cash'!$F$16+'Machine and Laundry Cash'!$G$16*'Assumptions'!$D$61+M11*'Machine and Laundry Cash'!$I$16)*'Assumptions'!$D$64*'Assumptions'!$D$91,"n.a."),"n.a.")</x:f>
        <x:v>62999.8875</x:v>
      </x:c>
      <x:c r="N12" s="51" t="n">
        <x:f>IF(AND('Machine and Laundry Cash'!N17="OK"),IF(AND(ISNUMBER(N10),ISNUMBER('Machine and Laundry Cash'!$F$17),ISNUMBER('Machine and Laundry Cash'!$G$17),ISNUMBER('Assumptions'!$D$61),ISNUMBER(N11),ISNUMBER('Machine and Laundry Cash'!$I$17),ISNUMBER('Assumptions'!$D$64),ISNUMBER('Assumptions'!$D$91)),(N10*'Machine and Laundry Cash'!$F$17+'Machine and Laundry Cash'!$G$17*'Assumptions'!$D$61+N11*'Machine and Laundry Cash'!$I$17)*'Assumptions'!$D$64*'Assumptions'!$D$91,"n.a."),"n.a.")</x:f>
        <x:v>62999.8875</x:v>
      </x:c>
      <x:c r="O12" s="51" t="n">
        <x:f>IF(AND('Machine and Laundry Cash'!N18="OK"),IF(AND(ISNUMBER(O10),ISNUMBER('Machine and Laundry Cash'!$F$18),ISNUMBER('Machine and Laundry Cash'!$G$18),ISNUMBER('Assumptions'!$D$61),ISNUMBER(O11),ISNUMBER('Machine and Laundry Cash'!$I$18),ISNUMBER('Assumptions'!$D$64),ISNUMBER('Assumptions'!$D$91)),(O10*'Machine and Laundry Cash'!$F$18+'Machine and Laundry Cash'!$G$18*'Assumptions'!$D$61+O11*'Machine and Laundry Cash'!$I$18)*'Assumptions'!$D$64*'Assumptions'!$D$91,"n.a."),"n.a.")</x:f>
        <x:v>61986.375</x:v>
      </x:c>
      <x:c r="P12" s="51" t="n">
        <x:f>IF(AND('Machine and Laundry Cash'!N19="OK"),IF(AND(ISNUMBER(P10),ISNUMBER('Machine and Laundry Cash'!$F$19),ISNUMBER('Machine and Laundry Cash'!$G$19),ISNUMBER('Assumptions'!$D$61),ISNUMBER(P11),ISNUMBER('Machine and Laundry Cash'!$I$19),ISNUMBER('Assumptions'!$D$64),ISNUMBER('Assumptions'!$D$91)),(P10*'Machine and Laundry Cash'!$F$19+'Machine and Laundry Cash'!$G$19*'Assumptions'!$D$61+P11*'Machine and Laundry Cash'!$I$19)*'Assumptions'!$D$64*'Assumptions'!$D$91,"n.a."),"n.a.")</x:f>
        <x:v>62999.8875</x:v>
      </x:c>
      <x:c r="Q12" s="51" t="n">
        <x:f>IF(AND('Machine and Laundry Cash'!N20="OK"),IF(AND(ISNUMBER(Q10),ISNUMBER('Machine and Laundry Cash'!$F$20),ISNUMBER('Machine and Laundry Cash'!$G$20),ISNUMBER('Assumptions'!$D$61),ISNUMBER(Q11),ISNUMBER('Machine and Laundry Cash'!$I$20),ISNUMBER('Assumptions'!$D$64),ISNUMBER('Assumptions'!$D$91)),(Q10*'Machine and Laundry Cash'!$F$20+'Machine and Laundry Cash'!$G$20*'Assumptions'!$D$61+Q11*'Machine and Laundry Cash'!$I$20)*'Assumptions'!$D$64*'Assumptions'!$D$91,"n.a."),"n.a.")</x:f>
        <x:v>61986.375</x:v>
      </x:c>
      <x:c r="R12" s="51" t="n">
        <x:f>IF(AND('Machine and Laundry Cash'!N21="OK"),IF(AND(ISNUMBER(R10),ISNUMBER('Machine and Laundry Cash'!$F$21),ISNUMBER('Machine and Laundry Cash'!$G$21),ISNUMBER('Assumptions'!$D$61),ISNUMBER(R11),ISNUMBER('Machine and Laundry Cash'!$I$21),ISNUMBER('Assumptions'!$D$64),ISNUMBER('Assumptions'!$D$91)),(R10*'Machine and Laundry Cash'!$F$21+'Machine and Laundry Cash'!$G$21*'Assumptions'!$D$61+R11*'Machine and Laundry Cash'!$I$21)*'Assumptions'!$D$64*'Assumptions'!$D$91,"n.a."),"n.a.")</x:f>
        <x:v>62999.8875</x:v>
      </x:c>
    </x:row>
    <x:row r="13" ht="21" customHeight="1">
      <x:c r="A13" s="2"/>
      <x:c r="B13" s="2"/>
      <x:c r="C13" s="2" t="str">
        <x:v>Self-service washer water/sewer cash</x:v>
      </x:c>
      <x:c r="D13" s="2" t="str">
        <x:v>USD</x:v>
      </x:c>
      <x:c r="E13" s="52" t="n">
        <x:f>IF(COUNT(G13:R13)=12,SUM(G13:R13),"n.a.")</x:f>
        <x:v>20235.600000000002</x:v>
      </x:c>
      <x:c r="F13" s="2"/>
      <x:c r="G13" s="51" t="n">
        <x:f>IF(AND('Machine and Laundry Cash'!N10="OK"),IF(AND(ISNUMBER(G10),ISNUMBER('Machine and Laundry Cash'!$J$10),ISNUMBER('Machine and Laundry Cash'!$K$10),ISNUMBER('Assumptions'!$D$67)),G10*'Machine and Laundry Cash'!$J$10*'Machine and Laundry Cash'!$K$10*'Assumptions'!$D$67,"n.a."),"n.a.")</x:f>
        <x:v>1718.64</x:v>
      </x:c>
      <x:c r="H13" s="51" t="n">
        <x:f>IF(AND('Machine and Laundry Cash'!N11="OK"),IF(AND(ISNUMBER(H10),ISNUMBER('Machine and Laundry Cash'!$J$11),ISNUMBER('Machine and Laundry Cash'!$K$11),ISNUMBER('Assumptions'!$D$67)),H10*'Machine and Laundry Cash'!$J$11*'Machine and Laundry Cash'!$K$11*'Assumptions'!$D$67,"n.a."),"n.a.")</x:f>
        <x:v>1552.32</x:v>
      </x:c>
      <x:c r="I13" s="51" t="n">
        <x:f>IF(AND('Machine and Laundry Cash'!N12="OK"),IF(AND(ISNUMBER(I10),ISNUMBER('Machine and Laundry Cash'!$J$12),ISNUMBER('Machine and Laundry Cash'!$K$12),ISNUMBER('Assumptions'!$D$67)),I10*'Machine and Laundry Cash'!$J$12*'Machine and Laundry Cash'!$K$12*'Assumptions'!$D$67,"n.a."),"n.a.")</x:f>
        <x:v>1718.64</x:v>
      </x:c>
      <x:c r="J13" s="51" t="n">
        <x:f>IF(AND('Machine and Laundry Cash'!N13="OK"),IF(AND(ISNUMBER(J10),ISNUMBER('Machine and Laundry Cash'!$J$13),ISNUMBER('Machine and Laundry Cash'!$K$13),ISNUMBER('Assumptions'!$D$67)),J10*'Machine and Laundry Cash'!$J$13*'Machine and Laundry Cash'!$K$13*'Assumptions'!$D$67,"n.a."),"n.a.")</x:f>
        <x:v>1663.2</x:v>
      </x:c>
      <x:c r="K13" s="51" t="n">
        <x:f>IF(AND('Machine and Laundry Cash'!N14="OK"),IF(AND(ISNUMBER(K10),ISNUMBER('Machine and Laundry Cash'!$J$14),ISNUMBER('Machine and Laundry Cash'!$K$14),ISNUMBER('Assumptions'!$D$67)),K10*'Machine and Laundry Cash'!$J$14*'Machine and Laundry Cash'!$K$14*'Assumptions'!$D$67,"n.a."),"n.a.")</x:f>
        <x:v>1718.64</x:v>
      </x:c>
      <x:c r="L13" s="51" t="n">
        <x:f>IF(AND('Machine and Laundry Cash'!N15="OK"),IF(AND(ISNUMBER(L10),ISNUMBER('Machine and Laundry Cash'!$J$15),ISNUMBER('Machine and Laundry Cash'!$K$15),ISNUMBER('Assumptions'!$D$67)),L10*'Machine and Laundry Cash'!$J$15*'Machine and Laundry Cash'!$K$15*'Assumptions'!$D$67,"n.a."),"n.a.")</x:f>
        <x:v>1663.2</x:v>
      </x:c>
      <x:c r="M13" s="51" t="n">
        <x:f>IF(AND('Machine and Laundry Cash'!N16="OK"),IF(AND(ISNUMBER(M10),ISNUMBER('Machine and Laundry Cash'!$J$16),ISNUMBER('Machine and Laundry Cash'!$K$16),ISNUMBER('Assumptions'!$D$67)),M10*'Machine and Laundry Cash'!$J$16*'Machine and Laundry Cash'!$K$16*'Assumptions'!$D$67,"n.a."),"n.a.")</x:f>
        <x:v>1718.64</x:v>
      </x:c>
      <x:c r="N13" s="51" t="n">
        <x:f>IF(AND('Machine and Laundry Cash'!N17="OK"),IF(AND(ISNUMBER(N10),ISNUMBER('Machine and Laundry Cash'!$J$17),ISNUMBER('Machine and Laundry Cash'!$K$17),ISNUMBER('Assumptions'!$D$67)),N10*'Machine and Laundry Cash'!$J$17*'Machine and Laundry Cash'!$K$17*'Assumptions'!$D$67,"n.a."),"n.a.")</x:f>
        <x:v>1718.64</x:v>
      </x:c>
      <x:c r="O13" s="51" t="n">
        <x:f>IF(AND('Machine and Laundry Cash'!N18="OK"),IF(AND(ISNUMBER(O10),ISNUMBER('Machine and Laundry Cash'!$J$18),ISNUMBER('Machine and Laundry Cash'!$K$18),ISNUMBER('Assumptions'!$D$67)),O10*'Machine and Laundry Cash'!$J$18*'Machine and Laundry Cash'!$K$18*'Assumptions'!$D$67,"n.a."),"n.a.")</x:f>
        <x:v>1663.2</x:v>
      </x:c>
      <x:c r="P13" s="51" t="n">
        <x:f>IF(AND('Machine and Laundry Cash'!N19="OK"),IF(AND(ISNUMBER(P10),ISNUMBER('Machine and Laundry Cash'!$J$19),ISNUMBER('Machine and Laundry Cash'!$K$19),ISNUMBER('Assumptions'!$D$67)),P10*'Machine and Laundry Cash'!$J$19*'Machine and Laundry Cash'!$K$19*'Assumptions'!$D$67,"n.a."),"n.a.")</x:f>
        <x:v>1718.64</x:v>
      </x:c>
      <x:c r="Q13" s="51" t="n">
        <x:f>IF(AND('Machine and Laundry Cash'!N20="OK"),IF(AND(ISNUMBER(Q10),ISNUMBER('Machine and Laundry Cash'!$J$20),ISNUMBER('Machine and Laundry Cash'!$K$20),ISNUMBER('Assumptions'!$D$67)),Q10*'Machine and Laundry Cash'!$J$20*'Machine and Laundry Cash'!$K$20*'Assumptions'!$D$67,"n.a."),"n.a.")</x:f>
        <x:v>1663.2</x:v>
      </x:c>
      <x:c r="R13" s="51" t="n">
        <x:f>IF(AND('Machine and Laundry Cash'!N21="OK"),IF(AND(ISNUMBER(R10),ISNUMBER('Machine and Laundry Cash'!$J$21),ISNUMBER('Machine and Laundry Cash'!$K$21),ISNUMBER('Assumptions'!$D$67)),R10*'Machine and Laundry Cash'!$J$21*'Machine and Laundry Cash'!$K$21*'Assumptions'!$D$67,"n.a."),"n.a.")</x:f>
        <x:v>1718.64</x:v>
      </x:c>
    </x:row>
    <x:row r="14" ht="21" customHeight="1">
      <x:c r="A14" s="2"/>
      <x:c r="B14" s="2"/>
      <x:c r="C14" s="2" t="str">
        <x:v>Utilities, laundry service and attendants</x:v>
      </x:c>
      <x:c r="D14" s="2" t="str">
        <x:v>USD</x:v>
      </x:c>
      <x:c r="E14" s="52" t="n">
        <x:f>IF(COUNT(G14:R14)=12,SUM(G14:R14),"n.a.")</x:f>
        <x:v>388802.4750000001</x:v>
      </x:c>
      <x:c r="F14" s="2"/>
      <x:c r="G14" s="51" t="n">
        <x:f>IF(AND('Machine and Laundry Cash'!N10="OK"),IF(AND(ISNUMBER(G13),ISNUMBER(G10),ISNUMBER('Assumptions'!$D$94),ISNUMBER(G11),ISNUMBER('Assumptions'!$D$97),ISNUMBER('Machine and Laundry Cash'!$L$10),ISNUMBER('Assumptions'!$D$100),ISNUMBER('Assumptions'!$D$67)),G13+(G10*'Assumptions'!$D$94+G11*'Assumptions'!$D$97+'Machine and Laundry Cash'!$L$10+'Assumptions'!$D$100)*'Assumptions'!$D$67,"n.a."),"n.a.")</x:f>
        <x:v>32492.265</x:v>
      </x:c>
      <x:c r="H14" s="51" t="n">
        <x:f>IF(AND('Machine and Laundry Cash'!N11="OK"),IF(AND(ISNUMBER(H13),ISNUMBER(H10),ISNUMBER('Assumptions'!$D$94),ISNUMBER(H11),ISNUMBER('Assumptions'!$D$97),ISNUMBER('Machine and Laundry Cash'!$L$11),ISNUMBER('Assumptions'!$D$100),ISNUMBER('Assumptions'!$D$67)),H13+(H10*'Assumptions'!$D$94+H11*'Assumptions'!$D$97+'Machine and Laundry Cash'!$L$11+'Assumptions'!$D$100)*'Assumptions'!$D$67,"n.a."),"n.a.")</x:f>
        <x:v>32018.82</x:v>
      </x:c>
      <x:c r="I14" s="51" t="n">
        <x:f>IF(AND('Machine and Laundry Cash'!N12="OK"),IF(AND(ISNUMBER(I13),ISNUMBER(I10),ISNUMBER('Assumptions'!$D$94),ISNUMBER(I11),ISNUMBER('Assumptions'!$D$97),ISNUMBER('Machine and Laundry Cash'!$L$12),ISNUMBER('Assumptions'!$D$100),ISNUMBER('Assumptions'!$D$67)),I13+(I10*'Assumptions'!$D$94+I11*'Assumptions'!$D$97+'Machine and Laundry Cash'!$L$12+'Assumptions'!$D$100)*'Assumptions'!$D$67,"n.a."),"n.a.")</x:f>
        <x:v>32492.265</x:v>
      </x:c>
      <x:c r="J14" s="51" t="n">
        <x:f>IF(AND('Machine and Laundry Cash'!N13="OK"),IF(AND(ISNUMBER(J13),ISNUMBER(J10),ISNUMBER('Assumptions'!$D$94),ISNUMBER(J11),ISNUMBER('Assumptions'!$D$97),ISNUMBER('Machine and Laundry Cash'!$L$13),ISNUMBER('Assumptions'!$D$100),ISNUMBER('Assumptions'!$D$67)),J13+(J10*'Assumptions'!$D$94+J11*'Assumptions'!$D$97+'Machine and Laundry Cash'!$L$13+'Assumptions'!$D$100)*'Assumptions'!$D$67,"n.a."),"n.a.")</x:f>
        <x:v>32334.45</x:v>
      </x:c>
      <x:c r="K14" s="51" t="n">
        <x:f>IF(AND('Machine and Laundry Cash'!N14="OK"),IF(AND(ISNUMBER(K13),ISNUMBER(K10),ISNUMBER('Assumptions'!$D$94),ISNUMBER(K11),ISNUMBER('Assumptions'!$D$97),ISNUMBER('Machine and Laundry Cash'!$L$14),ISNUMBER('Assumptions'!$D$100),ISNUMBER('Assumptions'!$D$67)),K13+(K10*'Assumptions'!$D$94+K11*'Assumptions'!$D$97+'Machine and Laundry Cash'!$L$14+'Assumptions'!$D$100)*'Assumptions'!$D$67,"n.a."),"n.a.")</x:f>
        <x:v>32492.265</x:v>
      </x:c>
      <x:c r="L14" s="51" t="n">
        <x:f>IF(AND('Machine and Laundry Cash'!N15="OK"),IF(AND(ISNUMBER(L13),ISNUMBER(L10),ISNUMBER('Assumptions'!$D$94),ISNUMBER(L11),ISNUMBER('Assumptions'!$D$97),ISNUMBER('Machine and Laundry Cash'!$L$15),ISNUMBER('Assumptions'!$D$100),ISNUMBER('Assumptions'!$D$67)),L13+(L10*'Assumptions'!$D$94+L11*'Assumptions'!$D$97+'Machine and Laundry Cash'!$L$15+'Assumptions'!$D$100)*'Assumptions'!$D$67,"n.a."),"n.a.")</x:f>
        <x:v>32334.45</x:v>
      </x:c>
      <x:c r="M14" s="51" t="n">
        <x:f>IF(AND('Machine and Laundry Cash'!N16="OK"),IF(AND(ISNUMBER(M13),ISNUMBER(M10),ISNUMBER('Assumptions'!$D$94),ISNUMBER(M11),ISNUMBER('Assumptions'!$D$97),ISNUMBER('Machine and Laundry Cash'!$L$16),ISNUMBER('Assumptions'!$D$100),ISNUMBER('Assumptions'!$D$67)),M13+(M10*'Assumptions'!$D$94+M11*'Assumptions'!$D$97+'Machine and Laundry Cash'!$L$16+'Assumptions'!$D$100)*'Assumptions'!$D$67,"n.a."),"n.a.")</x:f>
        <x:v>32492.265</x:v>
      </x:c>
      <x:c r="N14" s="51" t="n">
        <x:f>IF(AND('Machine and Laundry Cash'!N17="OK"),IF(AND(ISNUMBER(N13),ISNUMBER(N10),ISNUMBER('Assumptions'!$D$94),ISNUMBER(N11),ISNUMBER('Assumptions'!$D$97),ISNUMBER('Machine and Laundry Cash'!$L$17),ISNUMBER('Assumptions'!$D$100),ISNUMBER('Assumptions'!$D$67)),N13+(N10*'Assumptions'!$D$94+N11*'Assumptions'!$D$97+'Machine and Laundry Cash'!$L$17+'Assumptions'!$D$100)*'Assumptions'!$D$67,"n.a."),"n.a.")</x:f>
        <x:v>32492.265</x:v>
      </x:c>
      <x:c r="O14" s="51" t="n">
        <x:f>IF(AND('Machine and Laundry Cash'!N18="OK"),IF(AND(ISNUMBER(O13),ISNUMBER(O10),ISNUMBER('Assumptions'!$D$94),ISNUMBER(O11),ISNUMBER('Assumptions'!$D$97),ISNUMBER('Machine and Laundry Cash'!$L$18),ISNUMBER('Assumptions'!$D$100),ISNUMBER('Assumptions'!$D$67)),O13+(O10*'Assumptions'!$D$94+O11*'Assumptions'!$D$97+'Machine and Laundry Cash'!$L$18+'Assumptions'!$D$100)*'Assumptions'!$D$67,"n.a."),"n.a.")</x:f>
        <x:v>32334.45</x:v>
      </x:c>
      <x:c r="P14" s="51" t="n">
        <x:f>IF(AND('Machine and Laundry Cash'!N19="OK"),IF(AND(ISNUMBER(P13),ISNUMBER(P10),ISNUMBER('Assumptions'!$D$94),ISNUMBER(P11),ISNUMBER('Assumptions'!$D$97),ISNUMBER('Machine and Laundry Cash'!$L$19),ISNUMBER('Assumptions'!$D$100),ISNUMBER('Assumptions'!$D$67)),P13+(P10*'Assumptions'!$D$94+P11*'Assumptions'!$D$97+'Machine and Laundry Cash'!$L$19+'Assumptions'!$D$100)*'Assumptions'!$D$67,"n.a."),"n.a.")</x:f>
        <x:v>32492.265</x:v>
      </x:c>
      <x:c r="Q14" s="51" t="n">
        <x:f>IF(AND('Machine and Laundry Cash'!N20="OK"),IF(AND(ISNUMBER(Q13),ISNUMBER(Q10),ISNUMBER('Assumptions'!$D$94),ISNUMBER(Q11),ISNUMBER('Assumptions'!$D$97),ISNUMBER('Machine and Laundry Cash'!$L$20),ISNUMBER('Assumptions'!$D$100),ISNUMBER('Assumptions'!$D$67)),Q13+(Q10*'Assumptions'!$D$94+Q11*'Assumptions'!$D$97+'Machine and Laundry Cash'!$L$20+'Assumptions'!$D$100)*'Assumptions'!$D$67,"n.a."),"n.a.")</x:f>
        <x:v>32334.45</x:v>
      </x:c>
      <x:c r="R14" s="51" t="n">
        <x:f>IF(AND('Machine and Laundry Cash'!N21="OK"),IF(AND(ISNUMBER(R13),ISNUMBER(R10),ISNUMBER('Assumptions'!$D$94),ISNUMBER(R11),ISNUMBER('Assumptions'!$D$97),ISNUMBER('Machine and Laundry Cash'!$L$21),ISNUMBER('Assumptions'!$D$100),ISNUMBER('Assumptions'!$D$67)),R13+(R10*'Assumptions'!$D$94+R11*'Assumptions'!$D$97+'Machine and Laundry Cash'!$L$21+'Assumptions'!$D$100)*'Assumptions'!$D$67,"n.a."),"n.a.")</x:f>
        <x:v>32492.265</x:v>
      </x:c>
    </x:row>
    <x:row r="15" ht="21" customHeight="1">
      <x:c r="A15" s="2"/>
      <x:c r="B15" s="2"/>
      <x:c r="C15" s="2" t="str">
        <x:v>Related rent eliminated in combined cash</x:v>
      </x:c>
      <x:c r="D15" s="2" t="str">
        <x:v>USD</x:v>
      </x:c>
      <x:c r="E15" s="52" t="n">
        <x:f>IF(COUNT(G15:R15)=12,SUM(G15:R15),"n.a.")</x:f>
        <x:v>144000</x:v>
      </x:c>
      <x:c r="F15" s="2"/>
      <x:c r="G15" s="51" t="n">
        <x:f>IF(AND(ISNUMBER('Assumptions'!$D$73)),'Assumptions'!$D$73,"n.a.")</x:f>
        <x:v>12000</x:v>
      </x:c>
      <x:c r="H15" s="51" t="n">
        <x:f>IF(AND(ISNUMBER('Assumptions'!$D$73)),'Assumptions'!$D$73,"n.a.")</x:f>
        <x:v>12000</x:v>
      </x:c>
      <x:c r="I15" s="51" t="n">
        <x:f>IF(AND(ISNUMBER('Assumptions'!$D$73)),'Assumptions'!$D$73,"n.a.")</x:f>
        <x:v>12000</x:v>
      </x:c>
      <x:c r="J15" s="51" t="n">
        <x:f>IF(AND(ISNUMBER('Assumptions'!$D$73)),'Assumptions'!$D$73,"n.a.")</x:f>
        <x:v>12000</x:v>
      </x:c>
      <x:c r="K15" s="51" t="n">
        <x:f>IF(AND(ISNUMBER('Assumptions'!$D$73)),'Assumptions'!$D$73,"n.a.")</x:f>
        <x:v>12000</x:v>
      </x:c>
      <x:c r="L15" s="51" t="n">
        <x:f>IF(AND(ISNUMBER('Assumptions'!$D$73)),'Assumptions'!$D$73,"n.a.")</x:f>
        <x:v>12000</x:v>
      </x:c>
      <x:c r="M15" s="51" t="n">
        <x:f>IF(AND(ISNUMBER('Assumptions'!$D$73)),'Assumptions'!$D$73,"n.a.")</x:f>
        <x:v>12000</x:v>
      </x:c>
      <x:c r="N15" s="51" t="n">
        <x:f>IF(AND(ISNUMBER('Assumptions'!$D$73)),'Assumptions'!$D$73,"n.a.")</x:f>
        <x:v>12000</x:v>
      </x:c>
      <x:c r="O15" s="51" t="n">
        <x:f>IF(AND(ISNUMBER('Assumptions'!$D$73)),'Assumptions'!$D$73,"n.a.")</x:f>
        <x:v>12000</x:v>
      </x:c>
      <x:c r="P15" s="51" t="n">
        <x:f>IF(AND(ISNUMBER('Assumptions'!$D$73)),'Assumptions'!$D$73,"n.a.")</x:f>
        <x:v>12000</x:v>
      </x:c>
      <x:c r="Q15" s="51" t="n">
        <x:f>IF(AND(ISNUMBER('Assumptions'!$D$73)),'Assumptions'!$D$73,"n.a.")</x:f>
        <x:v>12000</x:v>
      </x:c>
      <x:c r="R15" s="51" t="n">
        <x:f>IF(AND(ISNUMBER('Assumptions'!$D$73)),'Assumptions'!$D$73,"n.a.")</x:f>
        <x:v>12000</x:v>
      </x:c>
    </x:row>
    <x:row r="16" ht="21" customHeight="1">
      <x:c r="A16" s="2"/>
      <x:c r="B16" s="2"/>
      <x:c r="C16" s="2" t="str">
        <x:v>Business receipts less related rent</x:v>
      </x:c>
      <x:c r="D16" s="2" t="str">
        <x:v>USD</x:v>
      </x:c>
      <x:c r="E16" s="52" t="n">
        <x:f>IF(COUNT(G16:R16)=12,SUM(G16:R16),"n.a.")</x:f>
        <x:v>604904.0625</x:v>
      </x:c>
      <x:c r="F16" s="2"/>
      <x:c r="G16" s="52" t="n">
        <x:f>IF(AND(ISNUMBER(G12),ISNUMBER(G15)),G12-G15,"n.a.")</x:f>
        <x:v>50999.8875</x:v>
      </x:c>
      <x:c r="H16" s="52" t="n">
        <x:f>IF(AND(ISNUMBER(H12),ISNUMBER(H15)),H12-H15,"n.a.")</x:f>
        <x:v>47959.35</x:v>
      </x:c>
      <x:c r="I16" s="52" t="n">
        <x:f>IF(AND(ISNUMBER(I12),ISNUMBER(I15)),I12-I15,"n.a.")</x:f>
        <x:v>50999.8875</x:v>
      </x:c>
      <x:c r="J16" s="52" t="n">
        <x:f>IF(AND(ISNUMBER(J12),ISNUMBER(J15)),J12-J15,"n.a.")</x:f>
        <x:v>49986.375</x:v>
      </x:c>
      <x:c r="K16" s="52" t="n">
        <x:f>IF(AND(ISNUMBER(K12),ISNUMBER(K15)),K12-K15,"n.a.")</x:f>
        <x:v>50999.8875</x:v>
      </x:c>
      <x:c r="L16" s="52" t="n">
        <x:f>IF(AND(ISNUMBER(L12),ISNUMBER(L15)),L12-L15,"n.a.")</x:f>
        <x:v>49986.375</x:v>
      </x:c>
      <x:c r="M16" s="52" t="n">
        <x:f>IF(AND(ISNUMBER(M12),ISNUMBER(M15)),M12-M15,"n.a.")</x:f>
        <x:v>50999.8875</x:v>
      </x:c>
      <x:c r="N16" s="52" t="n">
        <x:f>IF(AND(ISNUMBER(N12),ISNUMBER(N15)),N12-N15,"n.a.")</x:f>
        <x:v>50999.8875</x:v>
      </x:c>
      <x:c r="O16" s="52" t="n">
        <x:f>IF(AND(ISNUMBER(O12),ISNUMBER(O15)),O12-O15,"n.a.")</x:f>
        <x:v>49986.375</x:v>
      </x:c>
      <x:c r="P16" s="52" t="n">
        <x:f>IF(AND(ISNUMBER(P12),ISNUMBER(P15)),P12-P15,"n.a.")</x:f>
        <x:v>50999.8875</x:v>
      </x:c>
      <x:c r="Q16" s="52" t="n">
        <x:f>IF(AND(ISNUMBER(Q12),ISNUMBER(Q15)),Q12-Q15,"n.a.")</x:f>
        <x:v>49986.375</x:v>
      </x:c>
      <x:c r="R16" s="52" t="n">
        <x:f>IF(AND(ISNUMBER(R12),ISNUMBER(R15)),R12-R15,"n.a.")</x:f>
        <x:v>50999.8875</x:v>
      </x:c>
    </x:row>
    <x:row r="17" ht="21" customHeight="1">
      <x:c r="A17" s="2"/>
      <x:c r="B17" s="2"/>
      <x:c r="C17" s="56" t="str">
        <x:v>Combined receipts before outside obligations</x:v>
      </x:c>
      <x:c r="D17" s="56" t="str">
        <x:v>USD</x:v>
      </x:c>
      <x:c r="E17" s="57" t="n">
        <x:f>IF(COUNT(G17:R17)=12,SUM(G17:R17),"n.a.")</x:f>
        <x:v>748904.0625</x:v>
      </x:c>
      <x:c r="F17" s="56"/>
      <x:c r="G17" s="57" t="n">
        <x:f>IF(AND(ISNUMBER(G16),ISNUMBER(G15)),G16+G15,"n.a.")</x:f>
        <x:v>62999.8875</x:v>
      </x:c>
      <x:c r="H17" s="57" t="n">
        <x:f>IF(AND(ISNUMBER(H16),ISNUMBER(H15)),H16+H15,"n.a.")</x:f>
        <x:v>59959.35</x:v>
      </x:c>
      <x:c r="I17" s="57" t="n">
        <x:f>IF(AND(ISNUMBER(I16),ISNUMBER(I15)),I16+I15,"n.a.")</x:f>
        <x:v>62999.8875</x:v>
      </x:c>
      <x:c r="J17" s="57" t="n">
        <x:f>IF(AND(ISNUMBER(J16),ISNUMBER(J15)),J16+J15,"n.a.")</x:f>
        <x:v>61986.375</x:v>
      </x:c>
      <x:c r="K17" s="57" t="n">
        <x:f>IF(AND(ISNUMBER(K16),ISNUMBER(K15)),K16+K15,"n.a.")</x:f>
        <x:v>62999.8875</x:v>
      </x:c>
      <x:c r="L17" s="57" t="n">
        <x:f>IF(AND(ISNUMBER(L16),ISNUMBER(L15)),L16+L15,"n.a.")</x:f>
        <x:v>61986.375</x:v>
      </x:c>
      <x:c r="M17" s="57" t="n">
        <x:f>IF(AND(ISNUMBER(M16),ISNUMBER(M15)),M16+M15,"n.a.")</x:f>
        <x:v>62999.8875</x:v>
      </x:c>
      <x:c r="N17" s="57" t="n">
        <x:f>IF(AND(ISNUMBER(N16),ISNUMBER(N15)),N16+N15,"n.a.")</x:f>
        <x:v>62999.8875</x:v>
      </x:c>
      <x:c r="O17" s="57" t="n">
        <x:f>IF(AND(ISNUMBER(O16),ISNUMBER(O15)),O16+O15,"n.a.")</x:f>
        <x:v>61986.375</x:v>
      </x:c>
      <x:c r="P17" s="57" t="n">
        <x:f>IF(AND(ISNUMBER(P16),ISNUMBER(P15)),P16+P15,"n.a.")</x:f>
        <x:v>62999.8875</x:v>
      </x:c>
      <x:c r="Q17" s="57" t="n">
        <x:f>IF(AND(ISNUMBER(Q16),ISNUMBER(Q15)),Q16+Q15,"n.a.")</x:f>
        <x:v>61986.375</x:v>
      </x:c>
      <x:c r="R17" s="57" t="n">
        <x:f>IF(AND(ISNUMBER(R16),ISNUMBER(R15)),R16+R15,"n.a.")</x:f>
        <x:v>62999.8875</x:v>
      </x:c>
    </x:row>
    <x:row r="18" ht="21" customHeight="1">
      <x:c r="A18" s="2"/>
      <x:c r="B18" s="2"/>
      <x:c r="C18" s="2" t="str">
        <x:v>External property cash costs</x:v>
      </x:c>
      <x:c r="D18" s="2" t="str">
        <x:v>USD</x:v>
      </x:c>
      <x:c r="E18" s="52" t="n">
        <x:f>IF(COUNT(G18:R18)=12,SUM(G18:R18),"n.a.")</x:f>
        <x:v>72000</x:v>
      </x:c>
      <x:c r="F18" s="2"/>
      <x:c r="G18" s="51" t="n">
        <x:f>IF(AND(ISNUMBER('Assumptions'!$D$76),ISNUMBER('Assumptions'!$D$67)),'Assumptions'!$D$76*'Assumptions'!$D$67,"n.a.")</x:f>
        <x:v>6000</x:v>
      </x:c>
      <x:c r="H18" s="51" t="n">
        <x:f>IF(AND(ISNUMBER('Assumptions'!$D$76),ISNUMBER('Assumptions'!$D$67)),'Assumptions'!$D$76*'Assumptions'!$D$67,"n.a.")</x:f>
        <x:v>6000</x:v>
      </x:c>
      <x:c r="I18" s="51" t="n">
        <x:f>IF(AND(ISNUMBER('Assumptions'!$D$76),ISNUMBER('Assumptions'!$D$67)),'Assumptions'!$D$76*'Assumptions'!$D$67,"n.a.")</x:f>
        <x:v>6000</x:v>
      </x:c>
      <x:c r="J18" s="51" t="n">
        <x:f>IF(AND(ISNUMBER('Assumptions'!$D$76),ISNUMBER('Assumptions'!$D$67)),'Assumptions'!$D$76*'Assumptions'!$D$67,"n.a.")</x:f>
        <x:v>6000</x:v>
      </x:c>
      <x:c r="K18" s="51" t="n">
        <x:f>IF(AND(ISNUMBER('Assumptions'!$D$76),ISNUMBER('Assumptions'!$D$67)),'Assumptions'!$D$76*'Assumptions'!$D$67,"n.a.")</x:f>
        <x:v>6000</x:v>
      </x:c>
      <x:c r="L18" s="51" t="n">
        <x:f>IF(AND(ISNUMBER('Assumptions'!$D$76),ISNUMBER('Assumptions'!$D$67)),'Assumptions'!$D$76*'Assumptions'!$D$67,"n.a.")</x:f>
        <x:v>6000</x:v>
      </x:c>
      <x:c r="M18" s="51" t="n">
        <x:f>IF(AND(ISNUMBER('Assumptions'!$D$76),ISNUMBER('Assumptions'!$D$67)),'Assumptions'!$D$76*'Assumptions'!$D$67,"n.a.")</x:f>
        <x:v>6000</x:v>
      </x:c>
      <x:c r="N18" s="51" t="n">
        <x:f>IF(AND(ISNUMBER('Assumptions'!$D$76),ISNUMBER('Assumptions'!$D$67)),'Assumptions'!$D$76*'Assumptions'!$D$67,"n.a.")</x:f>
        <x:v>6000</x:v>
      </x:c>
      <x:c r="O18" s="51" t="n">
        <x:f>IF(AND(ISNUMBER('Assumptions'!$D$76),ISNUMBER('Assumptions'!$D$67)),'Assumptions'!$D$76*'Assumptions'!$D$67,"n.a.")</x:f>
        <x:v>6000</x:v>
      </x:c>
      <x:c r="P18" s="51" t="n">
        <x:f>IF(AND(ISNUMBER('Assumptions'!$D$76),ISNUMBER('Assumptions'!$D$67)),'Assumptions'!$D$76*'Assumptions'!$D$67,"n.a.")</x:f>
        <x:v>6000</x:v>
      </x:c>
      <x:c r="Q18" s="51" t="n">
        <x:f>IF(AND(ISNUMBER('Assumptions'!$D$76),ISNUMBER('Assumptions'!$D$67)),'Assumptions'!$D$76*'Assumptions'!$D$67,"n.a.")</x:f>
        <x:v>6000</x:v>
      </x:c>
      <x:c r="R18" s="51" t="n">
        <x:f>IF(AND(ISNUMBER('Assumptions'!$D$76),ISNUMBER('Assumptions'!$D$67)),'Assumptions'!$D$76*'Assumptions'!$D$67,"n.a.")</x:f>
        <x:v>6000</x:v>
      </x:c>
    </x:row>
    <x:row r="19" ht="21" customHeight="1">
      <x:c r="A19" s="2"/>
      <x:c r="B19" s="2"/>
      <x:c r="C19" s="2" t="str">
        <x:v>Other business debt service</x:v>
      </x:c>
      <x:c r="D19" s="2" t="str">
        <x:v>USD</x:v>
      </x:c>
      <x:c r="E19" s="52" t="n">
        <x:f>IF(COUNT(G19:R19)=12,SUM(G19:R19),"n.a.")</x:f>
        <x:v>72000</x:v>
      </x:c>
      <x:c r="F19" s="2"/>
      <x:c r="G19" s="51" t="n">
        <x:f>IF(AND(ISNUMBER('Assumptions'!$D$79)),'Assumptions'!$D$79,"n.a.")</x:f>
        <x:v>6000</x:v>
      </x:c>
      <x:c r="H19" s="51" t="n">
        <x:f>IF(AND(ISNUMBER('Assumptions'!$D$79)),'Assumptions'!$D$79,"n.a.")</x:f>
        <x:v>6000</x:v>
      </x:c>
      <x:c r="I19" s="51" t="n">
        <x:f>IF(AND(ISNUMBER('Assumptions'!$D$79)),'Assumptions'!$D$79,"n.a.")</x:f>
        <x:v>6000</x:v>
      </x:c>
      <x:c r="J19" s="51" t="n">
        <x:f>IF(AND(ISNUMBER('Assumptions'!$D$79)),'Assumptions'!$D$79,"n.a.")</x:f>
        <x:v>6000</x:v>
      </x:c>
      <x:c r="K19" s="51" t="n">
        <x:f>IF(AND(ISNUMBER('Assumptions'!$D$79)),'Assumptions'!$D$79,"n.a.")</x:f>
        <x:v>6000</x:v>
      </x:c>
      <x:c r="L19" s="51" t="n">
        <x:f>IF(AND(ISNUMBER('Assumptions'!$D$79)),'Assumptions'!$D$79,"n.a.")</x:f>
        <x:v>6000</x:v>
      </x:c>
      <x:c r="M19" s="51" t="n">
        <x:f>IF(AND(ISNUMBER('Assumptions'!$D$79)),'Assumptions'!$D$79,"n.a.")</x:f>
        <x:v>6000</x:v>
      </x:c>
      <x:c r="N19" s="51" t="n">
        <x:f>IF(AND(ISNUMBER('Assumptions'!$D$79)),'Assumptions'!$D$79,"n.a.")</x:f>
        <x:v>6000</x:v>
      </x:c>
      <x:c r="O19" s="51" t="n">
        <x:f>IF(AND(ISNUMBER('Assumptions'!$D$79)),'Assumptions'!$D$79,"n.a.")</x:f>
        <x:v>6000</x:v>
      </x:c>
      <x:c r="P19" s="51" t="n">
        <x:f>IF(AND(ISNUMBER('Assumptions'!$D$79)),'Assumptions'!$D$79,"n.a.")</x:f>
        <x:v>6000</x:v>
      </x:c>
      <x:c r="Q19" s="51" t="n">
        <x:f>IF(AND(ISNUMBER('Assumptions'!$D$79)),'Assumptions'!$D$79,"n.a.")</x:f>
        <x:v>6000</x:v>
      </x:c>
      <x:c r="R19" s="51" t="n">
        <x:f>IF(AND(ISNUMBER('Assumptions'!$D$79)),'Assumptions'!$D$79,"n.a.")</x:f>
        <x:v>6000</x:v>
      </x:c>
    </x:row>
    <x:row r="20" ht="21" customHeight="1">
      <x:c r="A20" s="2"/>
      <x:c r="B20" s="2"/>
      <x:c r="C20" s="2" t="str">
        <x:v>Cash taxes and distributions</x:v>
      </x:c>
      <x:c r="D20" s="2" t="str">
        <x:v>USD</x:v>
      </x:c>
      <x:c r="E20" s="52" t="n">
        <x:f>IF(COUNT(G20:R20)=12,SUM(G20:R20),"n.a.")</x:f>
        <x:v>36000</x:v>
      </x:c>
      <x:c r="F20" s="2"/>
      <x:c r="G20" s="51" t="n">
        <x:f>IF(AND(ISNUMBER('Assumptions'!$D$82)),'Assumptions'!$D$82,"n.a.")</x:f>
        <x:v>3000</x:v>
      </x:c>
      <x:c r="H20" s="51" t="n">
        <x:f>IF(AND(ISNUMBER('Assumptions'!$D$82)),'Assumptions'!$D$82,"n.a.")</x:f>
        <x:v>3000</x:v>
      </x:c>
      <x:c r="I20" s="51" t="n">
        <x:f>IF(AND(ISNUMBER('Assumptions'!$D$82)),'Assumptions'!$D$82,"n.a.")</x:f>
        <x:v>3000</x:v>
      </x:c>
      <x:c r="J20" s="51" t="n">
        <x:f>IF(AND(ISNUMBER('Assumptions'!$D$82)),'Assumptions'!$D$82,"n.a.")</x:f>
        <x:v>3000</x:v>
      </x:c>
      <x:c r="K20" s="51" t="n">
        <x:f>IF(AND(ISNUMBER('Assumptions'!$D$82)),'Assumptions'!$D$82,"n.a.")</x:f>
        <x:v>3000</x:v>
      </x:c>
      <x:c r="L20" s="51" t="n">
        <x:f>IF(AND(ISNUMBER('Assumptions'!$D$82)),'Assumptions'!$D$82,"n.a.")</x:f>
        <x:v>3000</x:v>
      </x:c>
      <x:c r="M20" s="51" t="n">
        <x:f>IF(AND(ISNUMBER('Assumptions'!$D$82)),'Assumptions'!$D$82,"n.a.")</x:f>
        <x:v>3000</x:v>
      </x:c>
      <x:c r="N20" s="51" t="n">
        <x:f>IF(AND(ISNUMBER('Assumptions'!$D$82)),'Assumptions'!$D$82,"n.a.")</x:f>
        <x:v>3000</x:v>
      </x:c>
      <x:c r="O20" s="51" t="n">
        <x:f>IF(AND(ISNUMBER('Assumptions'!$D$82)),'Assumptions'!$D$82,"n.a.")</x:f>
        <x:v>3000</x:v>
      </x:c>
      <x:c r="P20" s="51" t="n">
        <x:f>IF(AND(ISNUMBER('Assumptions'!$D$82)),'Assumptions'!$D$82,"n.a.")</x:f>
        <x:v>3000</x:v>
      </x:c>
      <x:c r="Q20" s="51" t="n">
        <x:f>IF(AND(ISNUMBER('Assumptions'!$D$82)),'Assumptions'!$D$82,"n.a.")</x:f>
        <x:v>3000</x:v>
      </x:c>
      <x:c r="R20" s="51" t="n">
        <x:f>IF(AND(ISNUMBER('Assumptions'!$D$82)),'Assumptions'!$D$82,"n.a.")</x:f>
        <x:v>3000</x:v>
      </x:c>
    </x:row>
    <x:row r="21" ht="21" customHeight="1">
      <x:c r="A21" s="2"/>
      <x:c r="B21" s="2"/>
      <x:c r="C21" s="2" t="str">
        <x:v>Maintenance capital deducted once</x:v>
      </x:c>
      <x:c r="D21" s="2" t="str">
        <x:v>USD</x:v>
      </x:c>
      <x:c r="E21" s="52" t="n">
        <x:f>IF(COUNT(G21:R21)=12,SUM(G21:R21),"n.a.")</x:f>
        <x:v>18000</x:v>
      </x:c>
      <x:c r="F21" s="2"/>
      <x:c r="G21" s="51" t="n">
        <x:f>IF(AND(ISNUMBER('Assumptions'!$D$85),ISNUMBER('Assumptions'!$D$70)),'Assumptions'!$D$85*'Assumptions'!$D$70,"n.a.")</x:f>
        <x:v>1500</x:v>
      </x:c>
      <x:c r="H21" s="51" t="n">
        <x:f>IF(AND(ISNUMBER('Assumptions'!$D$85),ISNUMBER('Assumptions'!$D$70)),'Assumptions'!$D$85*'Assumptions'!$D$70,"n.a.")</x:f>
        <x:v>1500</x:v>
      </x:c>
      <x:c r="I21" s="51" t="n">
        <x:f>IF(AND(ISNUMBER('Assumptions'!$D$85),ISNUMBER('Assumptions'!$D$70)),'Assumptions'!$D$85*'Assumptions'!$D$70,"n.a.")</x:f>
        <x:v>1500</x:v>
      </x:c>
      <x:c r="J21" s="51" t="n">
        <x:f>IF(AND(ISNUMBER('Assumptions'!$D$85),ISNUMBER('Assumptions'!$D$70)),'Assumptions'!$D$85*'Assumptions'!$D$70,"n.a.")</x:f>
        <x:v>1500</x:v>
      </x:c>
      <x:c r="K21" s="51" t="n">
        <x:f>IF(AND(ISNUMBER('Assumptions'!$D$85),ISNUMBER('Assumptions'!$D$70)),'Assumptions'!$D$85*'Assumptions'!$D$70,"n.a.")</x:f>
        <x:v>1500</x:v>
      </x:c>
      <x:c r="L21" s="51" t="n">
        <x:f>IF(AND(ISNUMBER('Assumptions'!$D$85),ISNUMBER('Assumptions'!$D$70)),'Assumptions'!$D$85*'Assumptions'!$D$70,"n.a.")</x:f>
        <x:v>1500</x:v>
      </x:c>
      <x:c r="M21" s="51" t="n">
        <x:f>IF(AND(ISNUMBER('Assumptions'!$D$85),ISNUMBER('Assumptions'!$D$70)),'Assumptions'!$D$85*'Assumptions'!$D$70,"n.a.")</x:f>
        <x:v>1500</x:v>
      </x:c>
      <x:c r="N21" s="51" t="n">
        <x:f>IF(AND(ISNUMBER('Assumptions'!$D$85),ISNUMBER('Assumptions'!$D$70)),'Assumptions'!$D$85*'Assumptions'!$D$70,"n.a.")</x:f>
        <x:v>1500</x:v>
      </x:c>
      <x:c r="O21" s="51" t="n">
        <x:f>IF(AND(ISNUMBER('Assumptions'!$D$85),ISNUMBER('Assumptions'!$D$70)),'Assumptions'!$D$85*'Assumptions'!$D$70,"n.a.")</x:f>
        <x:v>1500</x:v>
      </x:c>
      <x:c r="P21" s="51" t="n">
        <x:f>IF(AND(ISNUMBER('Assumptions'!$D$85),ISNUMBER('Assumptions'!$D$70)),'Assumptions'!$D$85*'Assumptions'!$D$70,"n.a.")</x:f>
        <x:v>1500</x:v>
      </x:c>
      <x:c r="Q21" s="51" t="n">
        <x:f>IF(AND(ISNUMBER('Assumptions'!$D$85),ISNUMBER('Assumptions'!$D$70)),'Assumptions'!$D$85*'Assumptions'!$D$70,"n.a.")</x:f>
        <x:v>1500</x:v>
      </x:c>
      <x:c r="R21" s="51" t="n">
        <x:f>IF(AND(ISNUMBER('Assumptions'!$D$85),ISNUMBER('Assumptions'!$D$70)),'Assumptions'!$D$85*'Assumptions'!$D$70,"n.a.")</x:f>
        <x:v>1500</x:v>
      </x:c>
    </x:row>
    <x:row r="22" ht="21" customHeight="1">
      <x:c r="A22" s="2"/>
      <x:c r="B22" s="2"/>
      <x:c r="C22" s="2" t="str">
        <x:v>Operating and outside cash obligations</x:v>
      </x:c>
      <x:c r="D22" s="2" t="str">
        <x:v>USD</x:v>
      </x:c>
      <x:c r="E22" s="52" t="n">
        <x:f>IF(COUNT(G22:R22)=12,SUM(G22:R22),"n.a.")</x:f>
        <x:v>586802.4750000001</x:v>
      </x:c>
      <x:c r="F22" s="2"/>
      <x:c r="G22" s="52" t="n">
        <x:f>IF(AND(ISNUMBER(G14),ISNUMBER(G18),ISNUMBER(G19),ISNUMBER(G20),ISNUMBER(G21)),G14+G18+G19+G20+G21,"n.a.")</x:f>
        <x:v>48992.265</x:v>
      </x:c>
      <x:c r="H22" s="52" t="n">
        <x:f>IF(AND(ISNUMBER(H14),ISNUMBER(H18),ISNUMBER(H19),ISNUMBER(H20),ISNUMBER(H21)),H14+H18+H19+H20+H21,"n.a.")</x:f>
        <x:v>48518.82</x:v>
      </x:c>
      <x:c r="I22" s="52" t="n">
        <x:f>IF(AND(ISNUMBER(I14),ISNUMBER(I18),ISNUMBER(I19),ISNUMBER(I20),ISNUMBER(I21)),I14+I18+I19+I20+I21,"n.a.")</x:f>
        <x:v>48992.265</x:v>
      </x:c>
      <x:c r="J22" s="52" t="n">
        <x:f>IF(AND(ISNUMBER(J14),ISNUMBER(J18),ISNUMBER(J19),ISNUMBER(J20),ISNUMBER(J21)),J14+J18+J19+J20+J21,"n.a.")</x:f>
        <x:v>48834.45</x:v>
      </x:c>
      <x:c r="K22" s="52" t="n">
        <x:f>IF(AND(ISNUMBER(K14),ISNUMBER(K18),ISNUMBER(K19),ISNUMBER(K20),ISNUMBER(K21)),K14+K18+K19+K20+K21,"n.a.")</x:f>
        <x:v>48992.265</x:v>
      </x:c>
      <x:c r="L22" s="52" t="n">
        <x:f>IF(AND(ISNUMBER(L14),ISNUMBER(L18),ISNUMBER(L19),ISNUMBER(L20),ISNUMBER(L21)),L14+L18+L19+L20+L21,"n.a.")</x:f>
        <x:v>48834.45</x:v>
      </x:c>
      <x:c r="M22" s="52" t="n">
        <x:f>IF(AND(ISNUMBER(M14),ISNUMBER(M18),ISNUMBER(M19),ISNUMBER(M20),ISNUMBER(M21)),M14+M18+M19+M20+M21,"n.a.")</x:f>
        <x:v>48992.265</x:v>
      </x:c>
      <x:c r="N22" s="52" t="n">
        <x:f>IF(AND(ISNUMBER(N14),ISNUMBER(N18),ISNUMBER(N19),ISNUMBER(N20),ISNUMBER(N21)),N14+N18+N19+N20+N21,"n.a.")</x:f>
        <x:v>48992.265</x:v>
      </x:c>
      <x:c r="O22" s="52" t="n">
        <x:f>IF(AND(ISNUMBER(O14),ISNUMBER(O18),ISNUMBER(O19),ISNUMBER(O20),ISNUMBER(O21)),O14+O18+O19+O20+O21,"n.a.")</x:f>
        <x:v>48834.45</x:v>
      </x:c>
      <x:c r="P22" s="52" t="n">
        <x:f>IF(AND(ISNUMBER(P14),ISNUMBER(P18),ISNUMBER(P19),ISNUMBER(P20),ISNUMBER(P21)),P14+P18+P19+P20+P21,"n.a.")</x:f>
        <x:v>48992.265</x:v>
      </x:c>
      <x:c r="Q22" s="52" t="n">
        <x:f>IF(AND(ISNUMBER(Q14),ISNUMBER(Q18),ISNUMBER(Q19),ISNUMBER(Q20),ISNUMBER(Q21)),Q14+Q18+Q19+Q20+Q21,"n.a.")</x:f>
        <x:v>48834.45</x:v>
      </x:c>
      <x:c r="R22" s="52" t="n">
        <x:f>IF(AND(ISNUMBER(R14),ISNUMBER(R18),ISNUMBER(R19),ISNUMBER(R20),ISNUMBER(R21)),R14+R18+R19+R20+R21,"n.a.")</x:f>
        <x:v>48992.265</x:v>
      </x:c>
    </x:row>
    <x:row r="23" ht="21" customHeight="1">
      <x:c r="A23" s="2"/>
      <x:c r="B23" s="2"/>
      <x:c r="C23" s="2" t="str">
        <x:v>Additional expansion / property capital</x:v>
      </x:c>
      <x:c r="D23" s="2" t="str">
        <x:v>USD</x:v>
      </x:c>
      <x:c r="E23" s="52" t="n">
        <x:f>IF(COUNT(G23:R23)=12,SUM(G23:R23),"n.a.")</x:f>
        <x:v>110000</x:v>
      </x:c>
      <x:c r="F23" s="2"/>
      <x:c r="G23" s="51" t="n">
        <x:f>IF(AND('Machine and Laundry Cash'!N10="OK"),IF(AND(ISNUMBER('Machine and Laundry Cash'!$M$10),ISNUMBER('Assumptions'!$D$70)),'Machine and Laundry Cash'!$M$10*'Assumptions'!$D$70,"n.a."),"n.a.")</x:f>
        <x:v>0</x:v>
      </x:c>
      <x:c r="H23" s="51" t="n">
        <x:f>IF(AND('Machine and Laundry Cash'!N11="OK"),IF(AND(ISNUMBER('Machine and Laundry Cash'!$M$11),ISNUMBER('Assumptions'!$D$70)),'Machine and Laundry Cash'!$M$11*'Assumptions'!$D$70,"n.a."),"n.a.")</x:f>
        <x:v>0</x:v>
      </x:c>
      <x:c r="I23" s="51" t="n">
        <x:f>IF(AND('Machine and Laundry Cash'!N12="OK"),IF(AND(ISNUMBER('Machine and Laundry Cash'!$M$12),ISNUMBER('Assumptions'!$D$70)),'Machine and Laundry Cash'!$M$12*'Assumptions'!$D$70,"n.a."),"n.a.")</x:f>
        <x:v>0</x:v>
      </x:c>
      <x:c r="J23" s="51" t="n">
        <x:f>IF(AND('Machine and Laundry Cash'!N13="OK"),IF(AND(ISNUMBER('Machine and Laundry Cash'!$M$13),ISNUMBER('Assumptions'!$D$70)),'Machine and Laundry Cash'!$M$13*'Assumptions'!$D$70,"n.a."),"n.a.")</x:f>
        <x:v>0</x:v>
      </x:c>
      <x:c r="K23" s="51" t="n">
        <x:f>IF(AND('Machine and Laundry Cash'!N14="OK"),IF(AND(ISNUMBER('Machine and Laundry Cash'!$M$14),ISNUMBER('Assumptions'!$D$70)),'Machine and Laundry Cash'!$M$14*'Assumptions'!$D$70,"n.a."),"n.a.")</x:f>
        <x:v>0</x:v>
      </x:c>
      <x:c r="L23" s="51" t="n">
        <x:f>IF(AND('Machine and Laundry Cash'!N15="OK"),IF(AND(ISNUMBER('Machine and Laundry Cash'!$M$15),ISNUMBER('Assumptions'!$D$70)),'Machine and Laundry Cash'!$M$15*'Assumptions'!$D$70,"n.a."),"n.a.")</x:f>
        <x:v>0</x:v>
      </x:c>
      <x:c r="M23" s="51" t="n">
        <x:f>IF(AND('Machine and Laundry Cash'!N16="OK"),IF(AND(ISNUMBER('Machine and Laundry Cash'!$M$16),ISNUMBER('Assumptions'!$D$70)),'Machine and Laundry Cash'!$M$16*'Assumptions'!$D$70,"n.a."),"n.a.")</x:f>
        <x:v>0</x:v>
      </x:c>
      <x:c r="N23" s="51" t="n">
        <x:f>IF(AND('Machine and Laundry Cash'!N17="OK"),IF(AND(ISNUMBER('Machine and Laundry Cash'!$M$17),ISNUMBER('Assumptions'!$D$70)),'Machine and Laundry Cash'!$M$17*'Assumptions'!$D$70,"n.a."),"n.a.")</x:f>
        <x:v>0</x:v>
      </x:c>
      <x:c r="O23" s="51" t="n">
        <x:f>IF(AND('Machine and Laundry Cash'!N18="OK"),IF(AND(ISNUMBER('Machine and Laundry Cash'!$M$18),ISNUMBER('Assumptions'!$D$70)),'Machine and Laundry Cash'!$M$18*'Assumptions'!$D$70,"n.a."),"n.a.")</x:f>
        <x:v>0</x:v>
      </x:c>
      <x:c r="P23" s="51" t="n">
        <x:f>IF(AND('Machine and Laundry Cash'!N19="OK"),IF(AND(ISNUMBER('Machine and Laundry Cash'!$M$19),ISNUMBER('Assumptions'!$D$70)),'Machine and Laundry Cash'!$M$19*'Assumptions'!$D$70,"n.a."),"n.a.")</x:f>
        <x:v>110000</x:v>
      </x:c>
      <x:c r="Q23" s="51" t="n">
        <x:f>IF(AND('Machine and Laundry Cash'!N20="OK"),IF(AND(ISNUMBER('Machine and Laundry Cash'!$M$20),ISNUMBER('Assumptions'!$D$70)),'Machine and Laundry Cash'!$M$20*'Assumptions'!$D$70,"n.a."),"n.a.")</x:f>
        <x:v>0</x:v>
      </x:c>
      <x:c r="R23" s="51" t="n">
        <x:f>IF(AND('Machine and Laundry Cash'!N21="OK"),IF(AND(ISNUMBER('Machine and Laundry Cash'!$M$21),ISNUMBER('Assumptions'!$D$70)),'Machine and Laundry Cash'!$M$21*'Assumptions'!$D$70,"n.a."),"n.a.")</x:f>
        <x:v>0</x:v>
      </x:c>
    </x:row>
    <x:row r="24" ht="21" customHeight="1">
      <x:c r="A24" s="2"/>
      <x:c r="B24" s="2"/>
      <x:c r="C24" s="2" t="str">
        <x:v>Fixed property / entity costs</x:v>
      </x:c>
      <x:c r="D24" s="2" t="str">
        <x:v>USD</x:v>
      </x:c>
      <x:c r="E24" s="52" t="n">
        <x:f>IF(COUNT(G24:R24)=12,SUM(G24:R24),"n.a.")</x:f>
        <x:v>0</x:v>
      </x:c>
      <x:c r="F24" s="2"/>
      <x:c r="G24" s="51" t="n">
        <x:f>IF(AND(ISNUMBER('Assumptions'!$D$55)),'Assumptions'!$D$55/12,"n.a.")</x:f>
        <x:v>0</x:v>
      </x:c>
      <x:c r="H24" s="51" t="n">
        <x:f>IF(AND(ISNUMBER('Assumptions'!$D$55)),'Assumptions'!$D$55/12,"n.a.")</x:f>
        <x:v>0</x:v>
      </x:c>
      <x:c r="I24" s="51" t="n">
        <x:f>IF(AND(ISNUMBER('Assumptions'!$D$55)),'Assumptions'!$D$55/12,"n.a.")</x:f>
        <x:v>0</x:v>
      </x:c>
      <x:c r="J24" s="51" t="n">
        <x:f>IF(AND(ISNUMBER('Assumptions'!$D$55)),'Assumptions'!$D$55/12,"n.a.")</x:f>
        <x:v>0</x:v>
      </x:c>
      <x:c r="K24" s="51" t="n">
        <x:f>IF(AND(ISNUMBER('Assumptions'!$D$55)),'Assumptions'!$D$55/12,"n.a.")</x:f>
        <x:v>0</x:v>
      </x:c>
      <x:c r="L24" s="51" t="n">
        <x:f>IF(AND(ISNUMBER('Assumptions'!$D$55)),'Assumptions'!$D$55/12,"n.a.")</x:f>
        <x:v>0</x:v>
      </x:c>
      <x:c r="M24" s="51" t="n">
        <x:f>IF(AND(ISNUMBER('Assumptions'!$D$55)),'Assumptions'!$D$55/12,"n.a.")</x:f>
        <x:v>0</x:v>
      </x:c>
      <x:c r="N24" s="51" t="n">
        <x:f>IF(AND(ISNUMBER('Assumptions'!$D$55)),'Assumptions'!$D$55/12,"n.a.")</x:f>
        <x:v>0</x:v>
      </x:c>
      <x:c r="O24" s="51" t="n">
        <x:f>IF(AND(ISNUMBER('Assumptions'!$D$55)),'Assumptions'!$D$55/12,"n.a.")</x:f>
        <x:v>0</x:v>
      </x:c>
      <x:c r="P24" s="51" t="n">
        <x:f>IF(AND(ISNUMBER('Assumptions'!$D$55)),'Assumptions'!$D$55/12,"n.a.")</x:f>
        <x:v>0</x:v>
      </x:c>
      <x:c r="Q24" s="51" t="n">
        <x:f>IF(AND(ISNUMBER('Assumptions'!$D$55)),'Assumptions'!$D$55/12,"n.a.")</x:f>
        <x:v>0</x:v>
      </x:c>
      <x:c r="R24" s="51" t="n">
        <x:f>IF(AND(ISNUMBER('Assumptions'!$D$55)),'Assumptions'!$D$55/12,"n.a.")</x:f>
        <x:v>0</x:v>
      </x:c>
    </x:row>
    <x:row r="25" ht="21" customHeight="1">
      <x:c r="A25" s="2"/>
      <x:c r="B25" s="2"/>
      <x:c r="C25" s="56" t="str">
        <x:v>Total cash operating costs</x:v>
      </x:c>
      <x:c r="D25" s="56" t="str">
        <x:v>USD</x:v>
      </x:c>
      <x:c r="E25" s="57" t="n">
        <x:f>IF(COUNT(G25:R25)=12,SUM(G25:R25),"n.a.")</x:f>
        <x:v>586802.4750000001</x:v>
      </x:c>
      <x:c r="F25" s="56"/>
      <x:c r="G25" s="57" t="n">
        <x:f>IF(AND(ISNUMBER(G22),ISNUMBER(G24)),G22+G24,"n.a.")</x:f>
        <x:v>48992.265</x:v>
      </x:c>
      <x:c r="H25" s="57" t="n">
        <x:f>IF(AND(ISNUMBER(H22),ISNUMBER(H24)),H22+H24,"n.a.")</x:f>
        <x:v>48518.82</x:v>
      </x:c>
      <x:c r="I25" s="57" t="n">
        <x:f>IF(AND(ISNUMBER(I22),ISNUMBER(I24)),I22+I24,"n.a.")</x:f>
        <x:v>48992.265</x:v>
      </x:c>
      <x:c r="J25" s="57" t="n">
        <x:f>IF(AND(ISNUMBER(J22),ISNUMBER(J24)),J22+J24,"n.a.")</x:f>
        <x:v>48834.45</x:v>
      </x:c>
      <x:c r="K25" s="57" t="n">
        <x:f>IF(AND(ISNUMBER(K22),ISNUMBER(K24)),K22+K24,"n.a.")</x:f>
        <x:v>48992.265</x:v>
      </x:c>
      <x:c r="L25" s="57" t="n">
        <x:f>IF(AND(ISNUMBER(L22),ISNUMBER(L24)),L22+L24,"n.a.")</x:f>
        <x:v>48834.45</x:v>
      </x:c>
      <x:c r="M25" s="57" t="n">
        <x:f>IF(AND(ISNUMBER(M22),ISNUMBER(M24)),M22+M24,"n.a.")</x:f>
        <x:v>48992.265</x:v>
      </x:c>
      <x:c r="N25" s="57" t="n">
        <x:f>IF(AND(ISNUMBER(N22),ISNUMBER(N24)),N22+N24,"n.a.")</x:f>
        <x:v>48992.265</x:v>
      </x:c>
      <x:c r="O25" s="57" t="n">
        <x:f>IF(AND(ISNUMBER(O22),ISNUMBER(O24)),O22+O24,"n.a.")</x:f>
        <x:v>48834.45</x:v>
      </x:c>
      <x:c r="P25" s="57" t="n">
        <x:f>IF(AND(ISNUMBER(P22),ISNUMBER(P24)),P22+P24,"n.a.")</x:f>
        <x:v>48992.265</x:v>
      </x:c>
      <x:c r="Q25" s="57" t="n">
        <x:f>IF(AND(ISNUMBER(Q22),ISNUMBER(Q24)),Q22+Q24,"n.a.")</x:f>
        <x:v>48834.45</x:v>
      </x:c>
      <x:c r="R25" s="57" t="n">
        <x:f>IF(AND(ISNUMBER(R22),ISNUMBER(R24)),R22+R24,"n.a.")</x:f>
        <x:v>48992.265</x:v>
      </x:c>
    </x:row>
    <x:row r="26" ht="21" customHeight="1">
      <x:c r="A26" s="2"/>
      <x:c r="B26" s="2"/>
      <x:c r="C26" s="56" t="str">
        <x:v>Combined cash after listed obligations</x:v>
      </x:c>
      <x:c r="D26" s="56" t="str">
        <x:v>USD</x:v>
      </x:c>
      <x:c r="E26" s="57" t="n">
        <x:f>IF(COUNT(G26:R26)=12,SUM(G26:R26),"n.a.")</x:f>
        <x:v>162101.58749999997</x:v>
      </x:c>
      <x:c r="F26" s="56"/>
      <x:c r="G26" s="57" t="n">
        <x:f>IF(AND(ISNUMBER(G17),ISNUMBER(G25)),G17-G25,"n.a.")</x:f>
        <x:v>14007.622499999998</x:v>
      </x:c>
      <x:c r="H26" s="57" t="n">
        <x:f>IF(AND(ISNUMBER(H17),ISNUMBER(H25)),H17-H25,"n.a.")</x:f>
        <x:v>11440.529999999999</x:v>
      </x:c>
      <x:c r="I26" s="57" t="n">
        <x:f>IF(AND(ISNUMBER(I17),ISNUMBER(I25)),I17-I25,"n.a.")</x:f>
        <x:v>14007.622499999998</x:v>
      </x:c>
      <x:c r="J26" s="57" t="n">
        <x:f>IF(AND(ISNUMBER(J17),ISNUMBER(J25)),J17-J25,"n.a.")</x:f>
        <x:v>13151.925000000003</x:v>
      </x:c>
      <x:c r="K26" s="57" t="n">
        <x:f>IF(AND(ISNUMBER(K17),ISNUMBER(K25)),K17-K25,"n.a.")</x:f>
        <x:v>14007.622499999998</x:v>
      </x:c>
      <x:c r="L26" s="57" t="n">
        <x:f>IF(AND(ISNUMBER(L17),ISNUMBER(L25)),L17-L25,"n.a.")</x:f>
        <x:v>13151.925000000003</x:v>
      </x:c>
      <x:c r="M26" s="57" t="n">
        <x:f>IF(AND(ISNUMBER(M17),ISNUMBER(M25)),M17-M25,"n.a.")</x:f>
        <x:v>14007.622499999998</x:v>
      </x:c>
      <x:c r="N26" s="57" t="n">
        <x:f>IF(AND(ISNUMBER(N17),ISNUMBER(N25)),N17-N25,"n.a.")</x:f>
        <x:v>14007.622499999998</x:v>
      </x:c>
      <x:c r="O26" s="57" t="n">
        <x:f>IF(AND(ISNUMBER(O17),ISNUMBER(O25)),O17-O25,"n.a.")</x:f>
        <x:v>13151.925000000003</x:v>
      </x:c>
      <x:c r="P26" s="57" t="n">
        <x:f>IF(AND(ISNUMBER(P17),ISNUMBER(P25)),P17-P25,"n.a.")</x:f>
        <x:v>14007.622499999998</x:v>
      </x:c>
      <x:c r="Q26" s="57" t="n">
        <x:f>IF(AND(ISNUMBER(Q17),ISNUMBER(Q25)),Q17-Q25,"n.a.")</x:f>
        <x:v>13151.925000000003</x:v>
      </x:c>
      <x:c r="R26" s="57" t="n">
        <x:f>IF(AND(ISNUMBER(R17),ISNUMBER(R25)),R17-R25,"n.a.")</x:f>
        <x:v>14007.622499999998</x:v>
      </x:c>
    </x:row>
    <x:row r="27" ht="21" customHeight="1">
      <x:c r="A27" s="2"/>
      <x:c r="B27" s="2"/>
      <x:c r="C27" s="2" t="str">
        <x:v>Cash replacement reserve deposits</x:v>
      </x:c>
      <x:c r="D27" s="2" t="str">
        <x:v>USD</x:v>
      </x:c>
      <x:c r="E27" s="52" t="n">
        <x:f>IF(COUNT(G27:R27)=12,SUM(G27:R27),"n.a.")</x:f>
        <x:v>0</x:v>
      </x:c>
      <x:c r="F27" s="2"/>
      <x:c r="G27" s="51" t="n">
        <x:f>IF(AND(ISNUMBER(G17),ISNUMBER('Assumptions'!$D$58)),MAX(0,G17)*'Assumptions'!$D$58,"n.a.")</x:f>
        <x:v>0</x:v>
      </x:c>
      <x:c r="H27" s="51" t="n">
        <x:f>IF(AND(ISNUMBER(H17),ISNUMBER('Assumptions'!$D$58)),MAX(0,H17)*'Assumptions'!$D$58,"n.a.")</x:f>
        <x:v>0</x:v>
      </x:c>
      <x:c r="I27" s="51" t="n">
        <x:f>IF(AND(ISNUMBER(I17),ISNUMBER('Assumptions'!$D$58)),MAX(0,I17)*'Assumptions'!$D$58,"n.a.")</x:f>
        <x:v>0</x:v>
      </x:c>
      <x:c r="J27" s="51" t="n">
        <x:f>IF(AND(ISNUMBER(J17),ISNUMBER('Assumptions'!$D$58)),MAX(0,J17)*'Assumptions'!$D$58,"n.a.")</x:f>
        <x:v>0</x:v>
      </x:c>
      <x:c r="K27" s="51" t="n">
        <x:f>IF(AND(ISNUMBER(K17),ISNUMBER('Assumptions'!$D$58)),MAX(0,K17)*'Assumptions'!$D$58,"n.a.")</x:f>
        <x:v>0</x:v>
      </x:c>
      <x:c r="L27" s="51" t="n">
        <x:f>IF(AND(ISNUMBER(L17),ISNUMBER('Assumptions'!$D$58)),MAX(0,L17)*'Assumptions'!$D$58,"n.a.")</x:f>
        <x:v>0</x:v>
      </x:c>
      <x:c r="M27" s="51" t="n">
        <x:f>IF(AND(ISNUMBER(M17),ISNUMBER('Assumptions'!$D$58)),MAX(0,M17)*'Assumptions'!$D$58,"n.a.")</x:f>
        <x:v>0</x:v>
      </x:c>
      <x:c r="N27" s="51" t="n">
        <x:f>IF(AND(ISNUMBER(N17),ISNUMBER('Assumptions'!$D$58)),MAX(0,N17)*'Assumptions'!$D$58,"n.a.")</x:f>
        <x:v>0</x:v>
      </x:c>
      <x:c r="O27" s="51" t="n">
        <x:f>IF(AND(ISNUMBER(O17),ISNUMBER('Assumptions'!$D$58)),MAX(0,O17)*'Assumptions'!$D$58,"n.a.")</x:f>
        <x:v>0</x:v>
      </x:c>
      <x:c r="P27" s="51" t="n">
        <x:f>IF(AND(ISNUMBER(P17),ISNUMBER('Assumptions'!$D$58)),MAX(0,P17)*'Assumptions'!$D$58,"n.a.")</x:f>
        <x:v>0</x:v>
      </x:c>
      <x:c r="Q27" s="51" t="n">
        <x:f>IF(AND(ISNUMBER(Q17),ISNUMBER('Assumptions'!$D$58)),MAX(0,Q17)*'Assumptions'!$D$58,"n.a.")</x:f>
        <x:v>0</x:v>
      </x:c>
      <x:c r="R27" s="51" t="n">
        <x:f>IF(AND(ISNUMBER(R17),ISNUMBER('Assumptions'!$D$58)),MAX(0,R17)*'Assumptions'!$D$58,"n.a.")</x:f>
        <x:v>0</x:v>
      </x:c>
    </x:row>
    <x:row r="28" ht="21" customHeight="1">
      <x:c r="A28" s="2"/>
      <x:c r="B28" s="2"/>
      <x:c r="C28" s="56" t="str">
        <x:v>Cash NCF before property debt / capital</x:v>
      </x:c>
      <x:c r="D28" s="56" t="str">
        <x:v>USD</x:v>
      </x:c>
      <x:c r="E28" s="57" t="n">
        <x:f>IF(COUNT(G28:R28)=12,SUM(G28:R28),"n.a.")</x:f>
        <x:v>162101.58749999997</x:v>
      </x:c>
      <x:c r="F28" s="56"/>
      <x:c r="G28" s="57" t="n">
        <x:f>IF(AND(ISNUMBER(G26),ISNUMBER(G27)),G26-G27,"n.a.")</x:f>
        <x:v>14007.622499999998</x:v>
      </x:c>
      <x:c r="H28" s="57" t="n">
        <x:f>IF(AND(ISNUMBER(H26),ISNUMBER(H27)),H26-H27,"n.a.")</x:f>
        <x:v>11440.529999999999</x:v>
      </x:c>
      <x:c r="I28" s="57" t="n">
        <x:f>IF(AND(ISNUMBER(I26),ISNUMBER(I27)),I26-I27,"n.a.")</x:f>
        <x:v>14007.622499999998</x:v>
      </x:c>
      <x:c r="J28" s="57" t="n">
        <x:f>IF(AND(ISNUMBER(J26),ISNUMBER(J27)),J26-J27,"n.a.")</x:f>
        <x:v>13151.925000000003</x:v>
      </x:c>
      <x:c r="K28" s="57" t="n">
        <x:f>IF(AND(ISNUMBER(K26),ISNUMBER(K27)),K26-K27,"n.a.")</x:f>
        <x:v>14007.622499999998</x:v>
      </x:c>
      <x:c r="L28" s="57" t="n">
        <x:f>IF(AND(ISNUMBER(L26),ISNUMBER(L27)),L26-L27,"n.a.")</x:f>
        <x:v>13151.925000000003</x:v>
      </x:c>
      <x:c r="M28" s="57" t="n">
        <x:f>IF(AND(ISNUMBER(M26),ISNUMBER(M27)),M26-M27,"n.a.")</x:f>
        <x:v>14007.622499999998</x:v>
      </x:c>
      <x:c r="N28" s="57" t="n">
        <x:f>IF(AND(ISNUMBER(N26),ISNUMBER(N27)),N26-N27,"n.a.")</x:f>
        <x:v>14007.622499999998</x:v>
      </x:c>
      <x:c r="O28" s="57" t="n">
        <x:f>IF(AND(ISNUMBER(O26),ISNUMBER(O27)),O26-O27,"n.a.")</x:f>
        <x:v>13151.925000000003</x:v>
      </x:c>
      <x:c r="P28" s="57" t="n">
        <x:f>IF(AND(ISNUMBER(P26),ISNUMBER(P27)),P26-P27,"n.a.")</x:f>
        <x:v>14007.622499999998</x:v>
      </x:c>
      <x:c r="Q28" s="57" t="n">
        <x:f>IF(AND(ISNUMBER(Q26),ISNUMBER(Q27)),Q26-Q27,"n.a.")</x:f>
        <x:v>13151.925000000003</x:v>
      </x:c>
      <x:c r="R28" s="57" t="n">
        <x:f>IF(AND(ISNUMBER(R26),ISNUMBER(R27)),R26-R27,"n.a.")</x:f>
        <x:v>14007.622499999998</x:v>
      </x:c>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IF(AND(ISNUMBER('Operations'!E28),ISNUMBER('Assumptions'!$D$52)),'Operations'!E28+'Assumptions'!$D$52,"n.a.")</x:f>
        <x:v>162101.58749999997</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1600512.12703829</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1105000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1801128.7499999998</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1000000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6752.071613476416</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1675000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675000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125000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916494.3050703831</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1000000</x:v>
      </x:c>
      <x:c r="H29" s="60" t="n">
        <x:f>IF(AND(ISNUMBER(G33)),G33,"n.a.")</x:f>
        <x:v>1000000</x:v>
      </x:c>
      <x:c r="I29" s="60" t="n">
        <x:f>IF(AND(ISNUMBER(H33)),H33,"n.a.")</x:f>
        <x:v>1000000</x:v>
      </x:c>
      <x:c r="J29" s="60" t="n">
        <x:f>IF(AND(ISNUMBER(I33)),I33,"n.a.")</x:f>
        <x:v>1000000</x:v>
      </x:c>
      <x:c r="K29" s="60" t="n">
        <x:f>IF(AND(ISNUMBER(J33)),J33,"n.a.")</x:f>
        <x:v>1000000</x:v>
      </x:c>
      <x:c r="L29" s="60" t="n">
        <x:f>IF(AND(ISNUMBER(K33)),K33,"n.a.")</x:f>
        <x:v>1000000</x:v>
      </x:c>
      <x:c r="M29" s="60" t="n">
        <x:f>IF(AND(ISNUMBER(L33)),L33,"n.a.")</x:f>
        <x:v>1000000</x:v>
      </x:c>
      <x:c r="N29" s="60" t="n">
        <x:f>IF(AND(ISNUMBER(M33)),M33,"n.a.")</x:f>
        <x:v>998664.5950531902</x:v>
      </x:c>
      <x:c r="O29" s="60" t="n">
        <x:f>IF(AND(ISNUMBER(N33)),N33,"n.a.")</x:f>
        <x:v>997321.9566629186</x:v>
      </x:c>
      <x:c r="P29" s="60" t="n">
        <x:f>IF(AND(ISNUMBER(O33)),O33,"n.a.")</x:f>
        <x:v>995972.0456480329</x:v>
      </x:c>
      <x:c r="Q29" s="60" t="n">
        <x:f>IF(AND(ISNUMBER(P33)),P33,"n.a.")</x:f>
        <x:v>994614.82261515</x:v>
      </x:c>
      <x:c r="R29" s="60" t="n">
        <x:f>IF(AND(ISNUMBER(Q33)),Q33,"n.a.")</x:f>
        <x:v>993250.2479575056</x:v>
      </x:c>
    </x:row>
    <x:row r="30" ht="21" customHeight="1">
      <x:c r="A30" s="2"/>
      <x:c r="B30" s="2"/>
      <x:c r="C30" s="2" t="str">
        <x:v>Monthly interest</x:v>
      </x:c>
      <x:c r="D30" s="2"/>
      <x:c r="E30" s="2"/>
      <x:c r="F30" s="2"/>
      <x:c r="G30" s="61" t="n">
        <x:f>IF(AND(ISNUMBER(G29),ISNUMBER('Assumptions'!$D$31)),G29*'Assumptions'!$D$31/12,"n.a.")</x:f>
        <x:v>5416.666666666667</x:v>
      </x:c>
      <x:c r="H30" s="61" t="n">
        <x:f>IF(AND(ISNUMBER(H29),ISNUMBER('Assumptions'!$D$31)),H29*'Assumptions'!$D$31/12,"n.a.")</x:f>
        <x:v>5416.666666666667</x:v>
      </x:c>
      <x:c r="I30" s="61" t="n">
        <x:f>IF(AND(ISNUMBER(I29),ISNUMBER('Assumptions'!$D$31)),I29*'Assumptions'!$D$31/12,"n.a.")</x:f>
        <x:v>5416.666666666667</x:v>
      </x:c>
      <x:c r="J30" s="61" t="n">
        <x:f>IF(AND(ISNUMBER(J29),ISNUMBER('Assumptions'!$D$31)),J29*'Assumptions'!$D$31/12,"n.a.")</x:f>
        <x:v>5416.666666666667</x:v>
      </x:c>
      <x:c r="K30" s="61" t="n">
        <x:f>IF(AND(ISNUMBER(K29),ISNUMBER('Assumptions'!$D$31)),K29*'Assumptions'!$D$31/12,"n.a.")</x:f>
        <x:v>5416.666666666667</x:v>
      </x:c>
      <x:c r="L30" s="61" t="n">
        <x:f>IF(AND(ISNUMBER(L29),ISNUMBER('Assumptions'!$D$31)),L29*'Assumptions'!$D$31/12,"n.a.")</x:f>
        <x:v>5416.666666666667</x:v>
      </x:c>
      <x:c r="M30" s="61" t="n">
        <x:f>IF(AND(ISNUMBER(M29),ISNUMBER('Assumptions'!$D$31)),M29*'Assumptions'!$D$31/12,"n.a.")</x:f>
        <x:v>5416.666666666667</x:v>
      </x:c>
      <x:c r="N30" s="61" t="n">
        <x:f>IF(AND(ISNUMBER(N29),ISNUMBER('Assumptions'!$D$31)),N29*'Assumptions'!$D$31/12,"n.a.")</x:f>
        <x:v>5409.433223204781</x:v>
      </x:c>
      <x:c r="O30" s="61" t="n">
        <x:f>IF(AND(ISNUMBER(O29),ISNUMBER('Assumptions'!$D$31)),O29*'Assumptions'!$D$31/12,"n.a.")</x:f>
        <x:v>5402.160598590809</x:v>
      </x:c>
      <x:c r="P30" s="61" t="n">
        <x:f>IF(AND(ISNUMBER(P29),ISNUMBER('Assumptions'!$D$31)),P29*'Assumptions'!$D$31/12,"n.a.")</x:f>
        <x:v>5394.8485805935115</x:v>
      </x:c>
      <x:c r="Q30" s="61" t="n">
        <x:f>IF(AND(ISNUMBER(Q29),ISNUMBER('Assumptions'!$D$31)),Q29*'Assumptions'!$D$31/12,"n.a.")</x:f>
        <x:v>5387.496955832063</x:v>
      </x:c>
      <x:c r="R30" s="61" t="n">
        <x:f>IF(AND(ISNUMBER(R29),ISNUMBER('Assumptions'!$D$31)),R29*'Assumptions'!$D$31/12,"n.a.")</x:f>
        <x:v>5380.105509769823</x:v>
      </x:c>
    </x:row>
    <x:row r="31" ht="21" customHeight="1">
      <x:c r="A31" s="2"/>
      <x:c r="B31" s="2"/>
      <x:c r="C31" s="2" t="str">
        <x:v>Scheduled payment</x:v>
      </x:c>
      <x:c r="D31" s="2"/>
      <x:c r="E31" s="2"/>
      <x:c r="F31" s="2"/>
      <x:c r="G31" s="61" t="n">
        <x:f>IF(AND(ISNUMBER('Assumptions'!$D$37),ISNUMBER(G30),ISNUMBER(G29),ISNUMBER(D16)),IF(1&lt;='Assumptions'!$D$37,G30,MIN(G29+G30,D16)),"n.a.")</x:f>
        <x:v>5416.666666666667</x:v>
      </x:c>
      <x:c r="H31" s="61" t="n">
        <x:f>IF(AND(ISNUMBER('Assumptions'!$D$37),ISNUMBER(H30),ISNUMBER(H29),ISNUMBER(D16)),IF(2&lt;='Assumptions'!$D$37,H30,MIN(H29+H30,D16)),"n.a.")</x:f>
        <x:v>5416.666666666667</x:v>
      </x:c>
      <x:c r="I31" s="61" t="n">
        <x:f>IF(AND(ISNUMBER('Assumptions'!$D$37),ISNUMBER(I30),ISNUMBER(I29),ISNUMBER(D16)),IF(3&lt;='Assumptions'!$D$37,I30,MIN(I29+I30,D16)),"n.a.")</x:f>
        <x:v>5416.666666666667</x:v>
      </x:c>
      <x:c r="J31" s="61" t="n">
        <x:f>IF(AND(ISNUMBER('Assumptions'!$D$37),ISNUMBER(J30),ISNUMBER(J29),ISNUMBER(D16)),IF(4&lt;='Assumptions'!$D$37,J30,MIN(J29+J30,D16)),"n.a.")</x:f>
        <x:v>5416.666666666667</x:v>
      </x:c>
      <x:c r="K31" s="61" t="n">
        <x:f>IF(AND(ISNUMBER('Assumptions'!$D$37),ISNUMBER(K30),ISNUMBER(K29),ISNUMBER(D16)),IF(5&lt;='Assumptions'!$D$37,K30,MIN(K29+K30,D16)),"n.a.")</x:f>
        <x:v>5416.666666666667</x:v>
      </x:c>
      <x:c r="L31" s="61" t="n">
        <x:f>IF(AND(ISNUMBER('Assumptions'!$D$37),ISNUMBER(L30),ISNUMBER(L29),ISNUMBER(D16)),IF(6&lt;='Assumptions'!$D$37,L30,MIN(L29+L30,D16)),"n.a.")</x:f>
        <x:v>5416.666666666667</x:v>
      </x:c>
      <x:c r="M31" s="61" t="n">
        <x:f>IF(AND(ISNUMBER('Assumptions'!$D$37),ISNUMBER(M30),ISNUMBER(M29),ISNUMBER(D16)),IF(7&lt;='Assumptions'!$D$37,M30,MIN(M29+M30,D16)),"n.a.")</x:f>
        <x:v>6752.071613476416</x:v>
      </x:c>
      <x:c r="N31" s="61" t="n">
        <x:f>IF(AND(ISNUMBER('Assumptions'!$D$37),ISNUMBER(N30),ISNUMBER(N29),ISNUMBER(D16)),IF(8&lt;='Assumptions'!$D$37,N30,MIN(N29+N30,D16)),"n.a.")</x:f>
        <x:v>6752.071613476416</x:v>
      </x:c>
      <x:c r="O31" s="61" t="n">
        <x:f>IF(AND(ISNUMBER('Assumptions'!$D$37),ISNUMBER(O30),ISNUMBER(O29),ISNUMBER(D16)),IF(9&lt;='Assumptions'!$D$37,O30,MIN(O29+O30,D16)),"n.a.")</x:f>
        <x:v>6752.071613476416</x:v>
      </x:c>
      <x:c r="P31" s="61" t="n">
        <x:f>IF(AND(ISNUMBER('Assumptions'!$D$37),ISNUMBER(P30),ISNUMBER(P29),ISNUMBER(D16)),IF(10&lt;='Assumptions'!$D$37,P30,MIN(P29+P30,D16)),"n.a.")</x:f>
        <x:v>6752.071613476416</x:v>
      </x:c>
      <x:c r="Q31" s="61" t="n">
        <x:f>IF(AND(ISNUMBER('Assumptions'!$D$37),ISNUMBER(Q30),ISNUMBER(Q29),ISNUMBER(D16)),IF(11&lt;='Assumptions'!$D$37,Q30,MIN(Q29+Q30,D16)),"n.a.")</x:f>
        <x:v>6752.071613476416</x:v>
      </x:c>
      <x:c r="R31" s="61" t="n">
        <x:f>IF(AND(ISNUMBER('Assumptions'!$D$37),ISNUMBER(R30),ISNUMBER(R29),ISNUMBER(D16)),IF(12&lt;='Assumptions'!$D$37,R30,MIN(R29+R30,D16)),"n.a.")</x:f>
        <x:v>6752.071613476416</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1335.4049468097492</x:v>
      </x:c>
      <x:c r="N32" s="60" t="n">
        <x:f>IF(AND(ISNUMBER(N31),ISNUMBER(N30)),N31-N30,"n.a.")</x:f>
        <x:v>1342.6383902716352</x:v>
      </x:c>
      <x:c r="O32" s="60" t="n">
        <x:f>IF(AND(ISNUMBER(O31),ISNUMBER(O30)),O31-O30,"n.a.")</x:f>
        <x:v>1349.911014885607</x:v>
      </x:c>
      <x:c r="P32" s="60" t="n">
        <x:f>IF(AND(ISNUMBER(P31),ISNUMBER(P30)),P31-P30,"n.a.")</x:f>
        <x:v>1357.2230328829046</x:v>
      </x:c>
      <x:c r="Q32" s="60" t="n">
        <x:f>IF(AND(ISNUMBER(Q31),ISNUMBER(Q30)),Q31-Q30,"n.a.")</x:f>
        <x:v>1364.5746576443535</x:v>
      </x:c>
      <x:c r="R32" s="60" t="n">
        <x:f>IF(AND(ISNUMBER(R31),ISNUMBER(R30)),R31-R30,"n.a.")</x:f>
        <x:v>1371.9661037065935</x:v>
      </x:c>
    </x:row>
    <x:row r="33" ht="21" customHeight="1">
      <x:c r="A33" s="2"/>
      <x:c r="B33" s="2"/>
      <x:c r="C33" s="2" t="str">
        <x:v>Ending loan balance</x:v>
      </x:c>
      <x:c r="D33" s="2"/>
      <x:c r="E33" s="2"/>
      <x:c r="F33" s="2"/>
      <x:c r="G33" s="60" t="n">
        <x:f>IF(AND(ISNUMBER(G29),ISNUMBER(G32),ISNUMBER(G38)),G29-G32-G38,"n.a.")</x:f>
        <x:v>1000000</x:v>
      </x:c>
      <x:c r="H33" s="60" t="n">
        <x:f>IF(AND(ISNUMBER(H29),ISNUMBER(H32),ISNUMBER(H38)),H29-H32-H38,"n.a.")</x:f>
        <x:v>1000000</x:v>
      </x:c>
      <x:c r="I33" s="60" t="n">
        <x:f>IF(AND(ISNUMBER(I29),ISNUMBER(I32),ISNUMBER(I38)),I29-I32-I38,"n.a.")</x:f>
        <x:v>1000000</x:v>
      </x:c>
      <x:c r="J33" s="60" t="n">
        <x:f>IF(AND(ISNUMBER(J29),ISNUMBER(J32),ISNUMBER(J38)),J29-J32-J38,"n.a.")</x:f>
        <x:v>1000000</x:v>
      </x:c>
      <x:c r="K33" s="60" t="n">
        <x:f>IF(AND(ISNUMBER(K29),ISNUMBER(K32),ISNUMBER(K38)),K29-K32-K38,"n.a.")</x:f>
        <x:v>1000000</x:v>
      </x:c>
      <x:c r="L33" s="60" t="n">
        <x:f>IF(AND(ISNUMBER(L29),ISNUMBER(L32),ISNUMBER(L38)),L29-L32-L38,"n.a.")</x:f>
        <x:v>1000000</x:v>
      </x:c>
      <x:c r="M33" s="60" t="n">
        <x:f>IF(AND(ISNUMBER(M29),ISNUMBER(M32),ISNUMBER(M38)),M29-M32-M38,"n.a.")</x:f>
        <x:v>998664.5950531902</x:v>
      </x:c>
      <x:c r="N33" s="60" t="n">
        <x:f>IF(AND(ISNUMBER(N29),ISNUMBER(N32),ISNUMBER(N38)),N29-N32-N38,"n.a.")</x:f>
        <x:v>997321.9566629186</x:v>
      </x:c>
      <x:c r="O33" s="60" t="n">
        <x:f>IF(AND(ISNUMBER(O29),ISNUMBER(O32),ISNUMBER(O38)),O29-O32-O38,"n.a.")</x:f>
        <x:v>995972.0456480329</x:v>
      </x:c>
      <x:c r="P33" s="60" t="n">
        <x:f>IF(AND(ISNUMBER(P29),ISNUMBER(P32),ISNUMBER(P38)),P29-P32-P38,"n.a.")</x:f>
        <x:v>994614.82261515</x:v>
      </x:c>
      <x:c r="Q33" s="60" t="n">
        <x:f>IF(AND(ISNUMBER(Q29),ISNUMBER(Q32),ISNUMBER(Q38)),Q29-Q32-Q38,"n.a.")</x:f>
        <x:v>993250.2479575056</x:v>
      </x:c>
      <x:c r="R33" s="60" t="n">
        <x:f>IF(AND(ISNUMBER(R29),ISNUMBER(R32),ISNUMBER(R38)),R29-R32-R38,"n.a.")</x:f>
        <x:v>991878.281853799</x:v>
      </x:c>
    </x:row>
    <x:row r="34" ht="21" customHeight="1">
      <x:c r="A34" s="2"/>
      <x:c r="B34" s="2"/>
      <x:c r="C34" s="2" t="str">
        <x:v>Operating cash NCF</x:v>
      </x:c>
      <x:c r="D34" s="2"/>
      <x:c r="E34" s="2"/>
      <x:c r="F34" s="2"/>
      <x:c r="G34" s="61" t="n">
        <x:f>IF(AND(ISNUMBER('Operations'!G28)),'Operations'!G28,"n.a.")</x:f>
        <x:v>14007.622499999998</x:v>
      </x:c>
      <x:c r="H34" s="61" t="n">
        <x:f>IF(AND(ISNUMBER('Operations'!H28)),'Operations'!H28,"n.a.")</x:f>
        <x:v>11440.529999999999</x:v>
      </x:c>
      <x:c r="I34" s="61" t="n">
        <x:f>IF(AND(ISNUMBER('Operations'!I28)),'Operations'!I28,"n.a.")</x:f>
        <x:v>14007.622499999998</x:v>
      </x:c>
      <x:c r="J34" s="61" t="n">
        <x:f>IF(AND(ISNUMBER('Operations'!J28)),'Operations'!J28,"n.a.")</x:f>
        <x:v>13151.925000000003</x:v>
      </x:c>
      <x:c r="K34" s="61" t="n">
        <x:f>IF(AND(ISNUMBER('Operations'!K28)),'Operations'!K28,"n.a.")</x:f>
        <x:v>14007.622499999998</x:v>
      </x:c>
      <x:c r="L34" s="61" t="n">
        <x:f>IF(AND(ISNUMBER('Operations'!L28)),'Operations'!L28,"n.a.")</x:f>
        <x:v>13151.925000000003</x:v>
      </x:c>
      <x:c r="M34" s="61" t="n">
        <x:f>IF(AND(ISNUMBER('Operations'!M28)),'Operations'!M28,"n.a.")</x:f>
        <x:v>14007.622499999998</x:v>
      </x:c>
      <x:c r="N34" s="61" t="n">
        <x:f>IF(AND(ISNUMBER('Operations'!N28)),'Operations'!N28,"n.a.")</x:f>
        <x:v>14007.622499999998</x:v>
      </x:c>
      <x:c r="O34" s="61" t="n">
        <x:f>IF(AND(ISNUMBER('Operations'!O28)),'Operations'!O28,"n.a.")</x:f>
        <x:v>13151.925000000003</x:v>
      </x:c>
      <x:c r="P34" s="61" t="n">
        <x:f>IF(AND(ISNUMBER('Operations'!P28)),'Operations'!P28,"n.a.")</x:f>
        <x:v>14007.622499999998</x:v>
      </x:c>
      <x:c r="Q34" s="61" t="n">
        <x:f>IF(AND(ISNUMBER('Operations'!Q28)),'Operations'!Q28,"n.a.")</x:f>
        <x:v>13151.925000000003</x:v>
      </x:c>
      <x:c r="R34" s="61" t="n">
        <x:f>IF(AND(ISNUMBER('Operations'!R28)),'Operations'!R28,"n.a.")</x:f>
        <x:v>14007.622499999998</x:v>
      </x:c>
    </x:row>
    <x:row r="35" ht="21" customHeight="1">
      <x:c r="A35" s="2"/>
      <x:c r="B35" s="2"/>
      <x:c r="C35" s="2" t="str">
        <x:v>Capital-work cash</x:v>
      </x:c>
      <x:c r="D35" s="2"/>
      <x:c r="E35" s="2"/>
      <x:c r="F35" s="2"/>
      <x:c r="G35" s="61" t="n">
        <x:f>IF(AND(ISNUMBER('Operations'!G23)),'Operations'!G23,"n.a.")</x:f>
        <x:v>0</x:v>
      </x:c>
      <x:c r="H35" s="61" t="n">
        <x:f>IF(AND(ISNUMBER('Operations'!H23)),'Operations'!H23,"n.a.")</x:f>
        <x:v>0</x:v>
      </x:c>
      <x:c r="I35" s="61" t="n">
        <x:f>IF(AND(ISNUMBER('Operations'!I23)),'Operations'!I23,"n.a.")</x:f>
        <x:v>0</x:v>
      </x:c>
      <x:c r="J35" s="61" t="n">
        <x:f>IF(AND(ISNUMBER('Operations'!J23)),'Operations'!J23,"n.a.")</x:f>
        <x:v>0</x:v>
      </x:c>
      <x:c r="K35" s="61" t="n">
        <x:f>IF(AND(ISNUMBER('Operations'!K23)),'Operations'!K23,"n.a.")</x:f>
        <x:v>0</x:v>
      </x:c>
      <x:c r="L35" s="61" t="n">
        <x:f>IF(AND(ISNUMBER('Operations'!L23)),'Operations'!L23,"n.a.")</x:f>
        <x:v>0</x:v>
      </x:c>
      <x:c r="M35" s="61" t="n">
        <x:f>IF(AND(ISNUMBER('Operations'!M23)),'Operations'!M23,"n.a.")</x:f>
        <x:v>0</x:v>
      </x:c>
      <x:c r="N35" s="61" t="n">
        <x:f>IF(AND(ISNUMBER('Operations'!N23)),'Operations'!N23,"n.a.")</x:f>
        <x:v>0</x:v>
      </x:c>
      <x:c r="O35" s="61" t="n">
        <x:f>IF(AND(ISNUMBER('Operations'!O23)),'Operations'!O23,"n.a.")</x:f>
        <x:v>0</x:v>
      </x:c>
      <x:c r="P35" s="61" t="n">
        <x:f>IF(AND(ISNUMBER('Operations'!P23)),'Operations'!P23,"n.a.")</x:f>
        <x:v>110000</x:v>
      </x:c>
      <x:c r="Q35" s="61" t="n">
        <x:f>IF(AND(ISNUMBER('Operations'!Q23)),'Operations'!Q23,"n.a.")</x:f>
        <x:v>0</x:v>
      </x:c>
      <x:c r="R35" s="61" t="n">
        <x:f>IF(AND(ISNUMBER('Operations'!R23)),'Operations'!R23,"n.a.")</x:f>
        <x:v>0</x:v>
      </x:c>
    </x:row>
    <x:row r="36" ht="21" customHeight="1">
      <x:c r="A36" s="2"/>
      <x:c r="B36" s="2"/>
      <x:c r="C36" s="2" t="str">
        <x:v>Cash after debt and capital</x:v>
      </x:c>
      <x:c r="D36" s="2"/>
      <x:c r="E36" s="2"/>
      <x:c r="F36" s="2"/>
      <x:c r="G36" s="60" t="n">
        <x:f>IF(AND(ISNUMBER(G34),ISNUMBER(G31),ISNUMBER(G35),ISNUMBER(G38)),G34-G31-G35-G38,"n.a.")</x:f>
        <x:v>8590.95583333333</x:v>
      </x:c>
      <x:c r="H36" s="60" t="n">
        <x:f>IF(AND(ISNUMBER(H34),ISNUMBER(H31),ISNUMBER(H35),ISNUMBER(H38)),H34-H31-H35-H38,"n.a.")</x:f>
        <x:v>6023.863333333332</x:v>
      </x:c>
      <x:c r="I36" s="60" t="n">
        <x:f>IF(AND(ISNUMBER(I34),ISNUMBER(I31),ISNUMBER(I35),ISNUMBER(I38)),I34-I31-I35-I38,"n.a.")</x:f>
        <x:v>8590.95583333333</x:v>
      </x:c>
      <x:c r="J36" s="60" t="n">
        <x:f>IF(AND(ISNUMBER(J34),ISNUMBER(J31),ISNUMBER(J35),ISNUMBER(J38)),J34-J31-J35-J38,"n.a.")</x:f>
        <x:v>7735.258333333336</x:v>
      </x:c>
      <x:c r="K36" s="60" t="n">
        <x:f>IF(AND(ISNUMBER(K34),ISNUMBER(K31),ISNUMBER(K35),ISNUMBER(K38)),K34-K31-K35-K38,"n.a.")</x:f>
        <x:v>8590.95583333333</x:v>
      </x:c>
      <x:c r="L36" s="60" t="n">
        <x:f>IF(AND(ISNUMBER(L34),ISNUMBER(L31),ISNUMBER(L35),ISNUMBER(L38)),L34-L31-L35-L38,"n.a.")</x:f>
        <x:v>7735.258333333336</x:v>
      </x:c>
      <x:c r="M36" s="60" t="n">
        <x:f>IF(AND(ISNUMBER(M34),ISNUMBER(M31),ISNUMBER(M35),ISNUMBER(M38)),M34-M31-M35-M38,"n.a.")</x:f>
        <x:v>7255.5508865235815</x:v>
      </x:c>
      <x:c r="N36" s="60" t="n">
        <x:f>IF(AND(ISNUMBER(N34),ISNUMBER(N31),ISNUMBER(N35),ISNUMBER(N38)),N34-N31-N35-N38,"n.a.")</x:f>
        <x:v>7255.5508865235815</x:v>
      </x:c>
      <x:c r="O36" s="60" t="n">
        <x:f>IF(AND(ISNUMBER(O34),ISNUMBER(O31),ISNUMBER(O35),ISNUMBER(O38)),O34-O31-O35-O38,"n.a.")</x:f>
        <x:v>6399.853386523587</x:v>
      </x:c>
      <x:c r="P36" s="60" t="n">
        <x:f>IF(AND(ISNUMBER(P34),ISNUMBER(P31),ISNUMBER(P35),ISNUMBER(P38)),P34-P31-P35-P38,"n.a.")</x:f>
        <x:v>-102744.44911347642</x:v>
      </x:c>
      <x:c r="Q36" s="60" t="n">
        <x:f>IF(AND(ISNUMBER(Q34),ISNUMBER(Q31),ISNUMBER(Q35),ISNUMBER(Q38)),Q34-Q31-Q35-Q38,"n.a.")</x:f>
        <x:v>6399.853386523587</x:v>
      </x:c>
      <x:c r="R36" s="60" t="n">
        <x:f>IF(AND(ISNUMBER(R34),ISNUMBER(R31),ISNUMBER(R35),ISNUMBER(R38)),R34-R31-R35-R38,"n.a.")</x:f>
        <x:v>7255.5508865235815</x:v>
      </x:c>
    </x:row>
    <x:row r="37" ht="21" customHeight="1">
      <x:c r="A37" s="2"/>
      <x:c r="B37" s="2"/>
      <x:c r="C37" s="2" t="str">
        <x:v>Ending operating cash</x:v>
      </x:c>
      <x:c r="D37" s="2"/>
      <x:c r="E37" s="2"/>
      <x:c r="F37" s="2"/>
      <x:c r="G37" s="61" t="n">
        <x:f>IF(AND(ISNUMBER('Assumptions'!$D$22),ISNUMBER(G36)),'Assumptions'!$D$22+G36,"n.a.")</x:f>
        <x:v>108590.95583333333</x:v>
      </x:c>
      <x:c r="H37" s="60" t="n">
        <x:f>IF(AND(ISNUMBER(G37),ISNUMBER(H36)),G37+H36,"n.a.")</x:f>
        <x:v>114614.81916666665</x:v>
      </x:c>
      <x:c r="I37" s="60" t="n">
        <x:f>IF(AND(ISNUMBER(H37),ISNUMBER(I36)),H37+I36,"n.a.")</x:f>
        <x:v>123205.77499999998</x:v>
      </x:c>
      <x:c r="J37" s="60" t="n">
        <x:f>IF(AND(ISNUMBER(I37),ISNUMBER(J36)),I37+J36,"n.a.")</x:f>
        <x:v>130941.03333333331</x:v>
      </x:c>
      <x:c r="K37" s="60" t="n">
        <x:f>IF(AND(ISNUMBER(J37),ISNUMBER(K36)),J37+K36,"n.a.")</x:f>
        <x:v>139531.98916666664</x:v>
      </x:c>
      <x:c r="L37" s="60" t="n">
        <x:f>IF(AND(ISNUMBER(K37),ISNUMBER(L36)),K37+L36,"n.a.")</x:f>
        <x:v>147267.24749999997</x:v>
      </x:c>
      <x:c r="M37" s="60" t="n">
        <x:f>IF(AND(ISNUMBER(L37),ISNUMBER(M36)),L37+M36,"n.a.")</x:f>
        <x:v>154522.79838652356</x:v>
      </x:c>
      <x:c r="N37" s="60" t="n">
        <x:f>IF(AND(ISNUMBER(M37),ISNUMBER(N36)),M37+N36,"n.a.")</x:f>
        <x:v>161778.34927304715</x:v>
      </x:c>
      <x:c r="O37" s="60" t="n">
        <x:f>IF(AND(ISNUMBER(N37),ISNUMBER(O36)),N37+O36,"n.a.")</x:f>
        <x:v>168178.20265957073</x:v>
      </x:c>
      <x:c r="P37" s="60" t="n">
        <x:f>IF(AND(ISNUMBER(O37),ISNUMBER(P36)),O37+P36,"n.a.")</x:f>
        <x:v>65433.7535460943</x:v>
      </x:c>
      <x:c r="Q37" s="60" t="n">
        <x:f>IF(AND(ISNUMBER(P37),ISNUMBER(Q36)),P37+Q36,"n.a.")</x:f>
        <x:v>71833.60693261788</x:v>
      </x:c>
      <x:c r="R37" s="60" t="n">
        <x:f>IF(AND(ISNUMBER(Q37),ISNUMBER(R36)),Q37+R36,"n.a.")</x:f>
        <x:v>79089.15781914146</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73012.4296808585</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2.2201916606330627</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991878.281853799</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125000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79089.15781914146</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31-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Assumptions'!$D$97,'Assumptions'!$D$100)</x:f>
        <x:v>0</x:v>
      </x:c>
      <x:c r="E10" s="2"/>
      <x:c r="F10" s="2"/>
      <x:c r="G10" s="2"/>
      <x:c r="H10" s="2"/>
      <x:c r="I10" s="2"/>
      <x:c r="J10" s="2"/>
    </x:row>
    <x:row r="11" ht="21" customHeight="1">
      <x:c r="A11" s="2"/>
      <x:c r="B11" s="2"/>
      <x:c r="C11" s="2" t="str">
        <x:v>Source rows needing correction</x:v>
      </x:c>
      <x:c r="D11" s="71" t="n">
        <x:f>COUNTIFS('Machine and Laundry Cash'!N10:N21,"Missing / invalid input")</x:f>
        <x:v>0</x:v>
      </x:c>
      <x:c r="E11" s="2"/>
      <x:c r="F11" s="2"/>
      <x:c r="G11" s="2"/>
      <x:c r="H11" s="2"/>
      <x:c r="I11" s="2"/>
      <x:c r="J11" s="2"/>
    </x:row>
    <x:row r="12" ht="21" customHeight="1">
      <x:c r="A12" s="2"/>
      <x:c r="B12" s="2"/>
      <x:c r="C12" s="2" t="str">
        <x:v>Residual cash-cost reconciliation</x:v>
      </x:c>
      <x:c r="D12" s="71" t="n">
        <x:f>IF(AND(ISNUMBER('Operations'!E26),ISNUMBER('Operations'!E17),ISNUMBER('Operations'!E25)),'Operations'!E26-'Operations'!E17+'Operations'!E25,"n.a.")</x:f>
        <x:v>0</x:v>
      </x:c>
      <x:c r="E12" s="2"/>
      <x:c r="F12" s="2"/>
      <x:c r="G12" s="2"/>
      <x:c r="H12" s="2"/>
      <x:c r="I12" s="2"/>
      <x:c r="J12" s="2"/>
    </x:row>
    <x:row r="13" ht="21" customHeight="1">
      <x:c r="A13" s="2"/>
      <x:c r="B13" s="2"/>
      <x:c r="C13" s="2" t="str">
        <x:v>NCF reserve reconciliation</x:v>
      </x:c>
      <x:c r="D13" s="71" t="n">
        <x:f>IF(AND(ISNUMBER('Operations'!E28),ISNUMBER('Operations'!E26),ISNUMBER('Operations'!E27)),'Operations'!E28-'Operations'!E26+'Operations'!E27,"n.a.")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1.1641532182693481e-10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Wash cycles are capped by entered daily capacity and use calendar days. Counts and</x:v>
      </x:c>
      <x:c r="D23" s="2"/>
      <x:c r="E23" s="2"/>
      <x:c r="F23" s="2"/>
      <x:c r="G23" s="2"/>
      <x:c r="H23" s="2"/>
      <x:c r="I23" s="2"/>
      <x:c r="J23" s="2"/>
    </x:row>
    <x:row r="24" ht="21" customHeight="1">
      <x:c r="A24" s="2"/>
      <x:c r="B24" s="2"/>
      <x:c r="C24" s="2" t="str">
        <x:v>prices need collection-log/payment-system reconciliation. Utility use is a</x:v>
      </x:c>
      <x:c r="D24" s="2"/>
      <x:c r="E24" s="2"/>
      <x:c r="F24" s="2"/>
      <x:c r="G24" s="2"/>
      <x:c r="H24" s="2"/>
      <x:c r="I24" s="2"/>
      <x:c r="J24" s="2"/>
    </x:row>
    <x:row r="25" ht="21" customHeight="1">
      <x:c r="A25" s="2"/>
      <x:c r="B25" s="2"/>
      <x:c r="C25" s="2" t="str">
        <x:v>reasonableness check, not proof of sales.</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Wash-and-fold pound cost includes its incremental labor, supplies and utilities.</x:v>
      </x:c>
      <x:c r="D27" s="2"/>
      <x:c r="E27" s="2"/>
      <x:c r="F27" s="2"/>
      <x:c r="G27" s="2"/>
      <x:c r="H27" s="2"/>
      <x:c r="I27" s="2"/>
      <x:c r="J27" s="2"/>
    </x:row>
    <x:row r="28" ht="21" customHeight="1">
      <x:c r="A28" s="2"/>
      <x:c r="B28" s="2"/>
      <x:c r="C28" s="2" t="str">
        <x:v>Self-service cycles exclude those loads; dryer receipts are separate. Other</x:v>
      </x:c>
      <x:c r="D28" s="2"/>
      <x:c r="E28" s="2"/>
      <x:c r="F28" s="2"/>
      <x:c r="G28" s="2"/>
      <x:c r="H28" s="2"/>
      <x:c r="I28" s="2"/>
      <x:c r="J28" s="2"/>
    </x:row>
    <x:row r="29" ht="21" customHeight="1">
      <x:c r="A29" s="2"/>
      <x:c r="B29" s="2"/>
      <x:c r="C29" s="2" t="str">
        <x:v>energy/repair cash includes dryer costs, avoiding a duplicate utility deduction.</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Combined cash is an operating-business and property measure, not property NOI. Other</x:v>
      </x:c>
      <x:c r="D31" s="2"/>
      <x:c r="E31" s="2"/>
      <x:c r="F31" s="2"/>
      <x:c r="G31" s="2"/>
      <x:c r="H31" s="2"/>
      <x:c r="I31" s="2"/>
      <x:c r="J31" s="2"/>
    </x:row>
    <x:row r="32" ht="21" customHeight="1">
      <x:c r="A32" s="2"/>
      <x:c r="B32" s="2"/>
      <x:c r="C32" s="2" t="str">
        <x:v>business debt, taxes/distributions and maintenance capital are deducted once before the</x:v>
      </x:c>
      <x:c r="D32" s="2"/>
      <x:c r="E32" s="2"/>
      <x:c r="F32" s="2"/>
      <x:c r="G32" s="2"/>
      <x:c r="H32" s="2"/>
      <x:c r="I32" s="2"/>
      <x:c r="J32" s="2"/>
    </x:row>
    <x:row r="33" ht="21" customHeight="1">
      <x:c r="A33" s="2"/>
      <x:c r="B33" s="2"/>
      <x:c r="C33" s="2" t="str">
        <x:v>residual property-debt proxy.</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Value and acquisition price refer only to the real estate. LTV never applies to</x:v>
      </x:c>
      <x:c r="D35" s="2"/>
      <x:c r="E35" s="2"/>
      <x:c r="F35" s="2"/>
      <x:c r="G35" s="2"/>
      <x:c r="H35" s="2"/>
      <x:c r="I35" s="2"/>
      <x:c r="J35" s="2"/>
    </x:row>
    <x:row r="36" ht="21" customHeight="1">
      <x:c r="A36" s="2"/>
      <x:c r="B36" s="2"/>
      <x:c r="C36" s="2" t="str">
        <x:v>enterprise value, goodwill, inventory or equipment. The modeled loan is property debt</x:v>
      </x:c>
      <x:c r="D36" s="2"/>
      <x:c r="E36" s="2"/>
      <x:c r="F36" s="2"/>
      <x:c r="G36" s="2"/>
      <x:c r="H36" s="2"/>
      <x:c r="I36" s="2"/>
      <x:c r="J36" s="2"/>
    </x:row>
    <x:row r="37" ht="21" customHeight="1">
      <x:c r="A37" s="2"/>
      <x:c r="B37" s="2"/>
      <x:c r="C37" s="2" t="str">
        <x:v>supported by residual combined cash, not a business-acquisition valuation or program</x:v>
      </x:c>
      <x:c r="D37" s="2"/>
      <x:c r="E37" s="2"/>
      <x:c r="F37" s="2"/>
      <x:c r="G37" s="2"/>
      <x:c r="H37" s="2"/>
      <x:c r="I37" s="2"/>
      <x:c r="J37" s="2"/>
    </x:row>
    <x:row r="38" ht="21" customHeight="1">
      <x:c r="A38" s="2"/>
      <x:c r="B38" s="2"/>
      <x:c r="C38" s="2" t="str">
        <x:v>eligibility test.</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Business purchases, equipment purchases at closing and goodwill are excluded from the</x:v>
      </x:c>
      <x:c r="D40" s="2"/>
      <x:c r="E40" s="2"/>
      <x:c r="F40" s="2"/>
      <x:c r="G40" s="2"/>
      <x:c r="H40" s="2"/>
      <x:c r="I40" s="2"/>
      <x:c r="J40" s="2"/>
    </x:row>
    <x:row r="41" ht="21" customHeight="1">
      <x:c r="A41" s="2"/>
      <x:c r="B41" s="2"/>
      <x:c r="C41" s="2" t="str">
        <x:v>example acquisition uses. Reconcile their separate funding and resulting debt</x:v>
      </x:c>
      <x:c r="D41" s="2"/>
      <x:c r="E41" s="2"/>
      <x:c r="F41" s="2"/>
      <x:c r="G41" s="2"/>
      <x:c r="H41" s="2"/>
      <x:c r="I41" s="2"/>
      <x:c r="J41" s="2"/>
    </x:row>
    <x:row r="42" ht="21" customHeight="1">
      <x:c r="A42" s="2"/>
      <x:c r="B42" s="2"/>
      <x:c r="C42" s="2" t="str">
        <x:v>obligations before relying on the property-only equity gap. Include additional</x:v>
      </x:c>
      <x:c r="D42" s="2"/>
      <x:c r="E42" s="2"/>
      <x:c r="F42" s="2"/>
      <x:c r="G42" s="2"/>
      <x:c r="H42" s="2"/>
      <x:c r="I42" s="2"/>
      <x:c r="J42" s="2"/>
    </x:row>
    <x:row r="43" ht="21" customHeight="1">
      <x:c r="A43" s="2"/>
      <x:c r="B43" s="2"/>
      <x:c r="C43" s="2" t="str">
        <x:v>post-closing equipment or expansion cash in the capital schedule once.</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Related-party rent is shown and eliminated. External property costs exclude mortgage</x:v>
      </x:c>
      <x:c r="D45" s="2"/>
      <x:c r="E45" s="2"/>
      <x:c r="F45" s="2"/>
      <x:c r="G45" s="2"/>
      <x:c r="H45" s="2"/>
      <x:c r="I45" s="2"/>
      <x:c r="J45" s="2"/>
    </x:row>
    <x:row r="46" ht="21" customHeight="1">
      <x:c r="A46" s="2"/>
      <x:c r="B46" s="2"/>
      <x:c r="C46" s="2" t="str">
        <x:v>debt and must not also appear in business operating inputs. No intercompany transfer</x:v>
      </x:c>
      <x:c r="D46" s="2"/>
      <x:c r="E46" s="2"/>
      <x:c r="F46" s="2"/>
      <x:c r="G46" s="2"/>
      <x:c r="H46" s="2"/>
      <x:c r="I46" s="2"/>
      <x:c r="J46" s="2"/>
    </x:row>
    <x:row r="47" ht="21" customHeight="1">
      <x:c r="A47" s="2"/>
      <x:c r="B47" s="2"/>
      <x:c r="C47" s="2" t="str">
        <x:v>permission is established.</x:v>
      </x:c>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t="str">
        <x:v>Maintenance capital is deducted before sizing. Additional expansion/property capital is</x:v>
      </x:c>
      <x:c r="D49" s="2"/>
      <x:c r="E49" s="2"/>
      <x:c r="F49" s="2"/>
      <x:c r="G49" s="2"/>
      <x:c r="H49" s="2"/>
      <x:c r="I49" s="2"/>
      <x:c r="J49" s="2"/>
    </x:row>
    <x:row r="50" ht="21" customHeight="1">
      <x:c r="A50" s="2"/>
      <x:c r="B50" s="2"/>
      <x:c r="C50" s="2" t="str">
        <x:v>deducted below residual cash. Do not enter the same cost in both places.</x:v>
      </x:c>
      <x:c r="D50" s="2"/>
      <x:c r="E50" s="2"/>
      <x:c r="F50" s="2"/>
      <x:c r="G50" s="2"/>
      <x:c r="H50" s="2"/>
      <x:c r="I50" s="2"/>
      <x:c r="J50" s="2"/>
    </x:row>
    <x:row r="51" ht="21" customHeight="1">
      <x:c r="A51" s="2"/>
      <x:c r="B51" s="2"/>
      <x:c r="C51" s="2"/>
      <x:c r="D51" s="2"/>
      <x:c r="E51" s="2"/>
      <x:c r="F51" s="2"/>
      <x:c r="G51" s="2"/>
      <x:c r="H51" s="2"/>
      <x:c r="I51" s="2"/>
      <x:c r="J51" s="2"/>
    </x:row>
    <x:row r="52" ht="21" customHeight="1">
      <x:c r="A52" s="2"/>
      <x:c r="B52" s="2"/>
      <x:c r="C52" s="2" t="str">
        <x:v>All amounts are fictional. Residual coverage, value and cash tests do not establish bank</x:v>
      </x:c>
      <x:c r="D52" s="2"/>
      <x:c r="E52" s="2"/>
      <x:c r="F52" s="2"/>
      <x:c r="G52" s="2"/>
      <x:c r="H52" s="2"/>
      <x:c r="I52" s="2"/>
      <x:c r="J52" s="2"/>
    </x:row>
    <x:row r="53" ht="21" customHeight="1">
      <x:c r="A53" s="2"/>
      <x:c r="B53" s="2"/>
      <x:c r="C53" s="2" t="str">
        <x:v>DSCR, program eligibility, business value or a loan commitment.</x:v>
      </x:c>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t="str">
        <x:v>Published by Jaken Finance Group. 833-264-7776 | info@jakenfinancegroup.com.</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Every numerical assumption is illustrative. No current market quote, legal conclusion or</x:v>
      </x:c>
      <x:c r="D57" s="2"/>
      <x:c r="E57" s="2"/>
      <x:c r="F57" s="2"/>
      <x:c r="G57" s="2"/>
      <x:c r="H57" s="2"/>
      <x:c r="I57" s="2"/>
      <x:c r="J57" s="2"/>
    </x:row>
    <x:row r="58" ht="21" customHeight="1">
      <x:c r="A58" s="2"/>
      <x:c r="B58" s="2"/>
      <x:c r="C58" s="2" t="str">
        <x:v>lender eligibility is represented.</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NCF is a modeled cash measure after cash reserve deposits. An actual lender may adjust</x:v>
      </x:c>
      <x:c r="D60" s="2"/>
      <x:c r="E60" s="2"/>
      <x:c r="F60" s="2"/>
      <x:c r="G60" s="2"/>
      <x:c r="H60" s="2"/>
      <x:c r="I60" s="2"/>
      <x:c r="J60" s="2"/>
    </x:row>
    <x:row r="61">
      <x:c r="C61" s="72" t="str">
        <x:v>income, expenses, reserves, tax and business cash differently.</x:v>
      </x:c>
    </x:row>
    <x:row r="62">
      <x:c r="C62" s="72"/>
    </x:row>
    <x:row r="63">
      <x:c r="C63" s="72" t="str">
        <x:v>No tax return, appraisal, legal compliance, guaranty capacity or refinancing approval is</x:v>
      </x:c>
    </x:row>
    <x:row r="64">
      <x:c r="C64" s="72" t="str">
        <x:v>established by the calculations.</x:v>
      </x:c>
    </x:row>
    <x:row r="65">
      <x:c r="C65" s="72"/>
    </x:row>
    <x:row r="66">
      <x:c r="C66" s="72" t="str">
        <x:v>Calculation methods and conventions are shown here. Check Review and replace</x:v>
      </x:c>
    </x:row>
    <x:row r="67">
      <x:c r="C67" s="72" t="str">
        <x:v>illustrative inputs before relying on results.</x:v>
      </x:c>
    </x:row>
    <x:row r="68">
      <x:c r="C68" s="72"/>
    </x:row>
    <x:row r="69">
      <x:c r="C69" s="72"/>
    </x:row>
    <x:row r="70">
      <x:c r="C70" s="72"/>
    </x:row>
  </x:sheetData>
  <x:conditionalFormatting sqref="D10:D16">
    <x:cfRule type="expression" dxfId="5" priority="1">
      <x:formula>ABS(D10)&gt;0.01</x:formula>
    </x:cfRule>
  </x:conditionalFormatting>
  <x:pageMargins left="0.7" right="0.7" top="0.75" bottom="0.75" header="0.3" footer="0.3"/>
</x:worksheet>
</file>