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c71cdaaa8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ummary" sheetId="1" r:id="R57763683356c4a17"/>
    <x:sheet xmlns:r="http://schemas.openxmlformats.org/officeDocument/2006/relationships" name="Assumptions" sheetId="2" r:id="Ra831579af1ec4be5"/>
    <x:sheet xmlns:r="http://schemas.openxmlformats.org/officeDocument/2006/relationships" name="Permits and Transient Parking" sheetId="3" r:id="R565bffdf0fec4327"/>
    <x:sheet xmlns:r="http://schemas.openxmlformats.org/officeDocument/2006/relationships" name="Operations" sheetId="4" r:id="Rae5c4a5f9ddf4e5b"/>
    <x:sheet xmlns:r="http://schemas.openxmlformats.org/officeDocument/2006/relationships" name="Debt and Funding" sheetId="5" r:id="Ra786e0639d024329"/>
    <x:sheet xmlns:r="http://schemas.openxmlformats.org/officeDocument/2006/relationships" name="Review" sheetId="6" r:id="R44441f5e315d49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1">
    <x:numFmt numFmtId="200" formatCode="#,##0.0;(#,##0.0);&quot;—&quot;"/>
    <x:numFmt numFmtId="201" formatCode="0"/>
    <x:numFmt numFmtId="202" formatCode="$#,##0.00##;($#,##0.00##);&quot;—&quot;"/>
    <x:numFmt numFmtId="203" formatCode="  @"/>
    <x:numFmt numFmtId="204" formatCode="0.0%;(0.0%);&quot;—&quot;"/>
    <x:numFmt numFmtId="205" formatCode="0.00&quot;x&quot;"/>
    <x:numFmt numFmtId="206" formatCode="mmm-yy"/>
    <x:numFmt numFmtId="207" formatCode="$#,##0;($#,##0);&quot;—&quot;"/>
    <x:numFmt numFmtId="208" formatCode="0.000000&quot;x&quot;"/>
    <x:numFmt numFmtId="209" formatCode="@"/>
    <x:numFmt numFmtId="210" formatCode="0.00;(0.00);0.00"/>
  </x:numFmts>
  <x:fonts count="15">
    <x:font>
      <x:sz val="11"/>
      <x:name val="Carlito"/>
    </x:font>
    <x:font>
      <x:sz val="10"/>
      <x:color rgb="FF172D45"/>
      <x:name val="Arial"/>
    </x:font>
    <x:font>
      <x:b/>
      <x:sz val="15"/>
      <x:color rgb="FF172D45"/>
      <x:name val="Arial"/>
    </x:font>
    <x:font>
      <x:sz val="10"/>
      <x:color rgb="FF28733C"/>
      <x:name val="Arial"/>
    </x:font>
    <x:font>
      <x:b/>
      <x:sz val="10"/>
      <x:color rgb="FF28733C"/>
      <x:name val="Arial"/>
    </x:font>
    <x:font>
      <x:b/>
      <x:sz val="10"/>
      <x:color rgb="FF174EA6"/>
      <x:name val="Arial"/>
    </x:font>
    <x:font>
      <x:sz val="10"/>
      <x:color rgb="FF111111"/>
      <x:name val="Arial"/>
    </x:font>
    <x:font>
      <x:sz val="10"/>
      <x:color rgb="FF174EA6"/>
      <x:name val="Arial"/>
    </x:font>
    <x:font>
      <x:b/>
      <x:sz val="10"/>
      <x:color rgb="FFFFFFFF"/>
      <x:name val="Arial"/>
    </x:font>
    <x:font>
      <x:b/>
      <x:sz val="10"/>
      <x:color rgb="FF172D45"/>
      <x:name val="Arial"/>
    </x:font>
    <x:font>
      <x:b/>
      <x:sz val="10"/>
      <x:color rgb="FF111111"/>
      <x:name val="Arial"/>
    </x:font>
    <x:font>
      <x:b/>
      <x:i/>
      <x:sz val="10"/>
      <x:color rgb="FF172D45"/>
      <x:name val="Arial"/>
    </x:font>
    <x:font>
      <x:b/>
      <x:i/>
      <x:sz val="10"/>
      <x:color rgb="FF111111"/>
      <x:name val="Arial"/>
    </x:font>
    <x:font>
      <x:i/>
      <x:sz val="10"/>
      <x:color rgb="FF172D45"/>
      <x:name val="Arial"/>
    </x:font>
    <x:font>
      <x:i/>
      <x:sz val="10"/>
      <x:color rgb="FF174EA6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3D0"/>
      </x:patternFill>
    </x:fill>
    <x:fill>
      <x:patternFill patternType="solid">
        <x:fgColor rgb="FF183B56"/>
      </x:patternFill>
    </x:fill>
    <x:fill>
      <x:patternFill patternType="solid">
        <x:fgColor rgb="FFE8F0F5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rgb="FF9BADB9"/>
      </x:bottom>
      <x:diagonal/>
    </x:border>
    <x:border>
      <x:left style="dashed">
        <x:color rgb="FF9BADB9"/>
      </x:left>
      <x:right style="dashed">
        <x:color rgb="FF9BADB9"/>
      </x:right>
      <x:top style="dashed">
        <x:color rgb="FF9BADB9"/>
      </x:top>
      <x:bottom style="dashed">
        <x:color rgb="FF9BADB9"/>
      </x:bottom>
      <x:diagonal/>
    </x:border>
  </x:borders>
  <x:cellStyleXfs count="1">
    <x:xf numFmtId="0" fontId="0" fillId="0" borderId="0"/>
  </x:cellStyleXfs>
  <x:cellXfs count="7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horizontal="center" vertical="center"/>
    </x:xf>
    <x:xf numFmtId="0" fontId="4" fillId="2" borderId="2" xfId="0" applyNumberFormat="1" applyFont="1" applyFill="1" applyBorder="1" applyAlignment="1">
      <x:alignment horizontal="center" vertical="center"/>
    </x:xf>
    <x:xf numFmtId="0" fontId="5" fillId="2" borderId="2" xfId="0" applyNumberFormat="1" applyFont="1" applyFill="1" applyBorder="1" applyAlignment="1">
      <x:alignment horizontal="center" vertical="center"/>
    </x:xf>
    <x:xf numFmtId="200" fontId="5" fillId="2" borderId="2" xfId="0" applyNumberFormat="1" applyFont="1" applyFill="1" applyBorder="1" applyAlignment="1">
      <x:alignment horizontal="center" vertical="center"/>
    </x:xf>
    <x:xf numFmtId="0" fontId="6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7" fillId="2" borderId="0" xfId="0" applyNumberFormat="1" applyFont="1" applyFill="1" applyBorder="1" applyAlignment="1">
      <x:alignment vertical="center"/>
    </x:xf>
    <x:xf numFmtId="200" fontId="7" fillId="2" borderId="0" xfId="0" applyNumberFormat="1" applyFont="1" applyFill="1" applyBorder="1" applyAlignment="1">
      <x:alignment vertical="center"/>
    </x:xf>
    <x:xf numFmtId="201" fontId="7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 wrapText="1"/>
    </x:xf>
    <x:xf numFmtId="0" fontId="8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6" fillId="4" borderId="0" xfId="0" applyNumberFormat="1" applyFont="1" applyFill="1" applyBorder="1" applyAlignment="1">
      <x:alignment vertical="center"/>
    </x:xf>
    <x:xf numFmtId="0" fontId="9" fillId="4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 applyAlignment="1">
      <x:alignment vertical="center"/>
    </x:xf>
    <x:xf numFmtId="202" fontId="10" fillId="4" borderId="0" xfId="0" applyNumberFormat="1" applyFont="1" applyFill="1" applyBorder="1" applyAlignment="1">
      <x:alignment vertical="center"/>
    </x:xf>
    <x:xf numFmtId="202" fontId="7" fillId="2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4" fontId="10" fillId="4" borderId="0" xfId="0" applyNumberFormat="1" applyFont="1" applyFill="1" applyBorder="1" applyAlignment="1">
      <x:alignment vertical="center"/>
    </x:xf>
    <x:xf numFmtId="204" fontId="7" fillId="2" borderId="0" xfId="0" applyNumberFormat="1" applyFont="1" applyFill="1" applyBorder="1" applyAlignment="1">
      <x:alignment vertical="center"/>
    </x:xf>
    <x:xf numFmtId="0" fontId="11" fillId="4" borderId="0" xfId="0" applyNumberFormat="1" applyFont="1" applyFill="1" applyBorder="1" applyAlignment="1">
      <x:alignment vertical="center"/>
    </x:xf>
    <x:xf numFmtId="204" fontId="12" fillId="4" borderId="0" xfId="0" applyNumberFormat="1" applyFont="1" applyFill="1" applyBorder="1" applyAlignment="1">
      <x:alignment vertical="center"/>
    </x:xf>
    <x:xf numFmtId="0" fontId="13" fillId="4" borderId="0" xfId="0" applyNumberFormat="1" applyFont="1" applyFill="1" applyBorder="1" applyAlignment="1">
      <x:alignment vertical="center"/>
    </x:xf>
    <x:xf numFmtId="203" fontId="13" fillId="0" borderId="0" xfId="0" applyNumberFormat="1" applyFont="1" applyFill="1" applyBorder="1" applyAlignment="1">
      <x:alignment vertical="center"/>
    </x:xf>
    <x:xf numFmtId="204" fontId="14" fillId="2" borderId="0" xfId="0" applyNumberFormat="1" applyFont="1" applyFill="1" applyBorder="1" applyAlignment="1">
      <x:alignment vertical="center"/>
    </x:xf>
    <x:xf numFmtId="0" fontId="13" fillId="0" borderId="0" xfId="0" applyNumberFormat="1" applyFont="1" applyFill="1" applyBorder="1" applyAlignment="1">
      <x:alignment vertical="center"/>
    </x:xf>
    <x:xf numFmtId="200" fontId="10" fillId="4" borderId="0" xfId="0" applyNumberFormat="1" applyFont="1" applyFill="1" applyBorder="1" applyAlignment="1">
      <x:alignment vertical="center"/>
    </x:xf>
    <x:xf numFmtId="205" fontId="10" fillId="4" borderId="0" xfId="0" applyNumberFormat="1" applyFont="1" applyFill="1" applyBorder="1" applyAlignment="1">
      <x:alignment vertical="center"/>
    </x:xf>
    <x:xf numFmtId="205" fontId="7" fillId="2" borderId="0" xfId="0" applyNumberFormat="1" applyFont="1" applyFill="1" applyBorder="1" applyAlignment="1">
      <x:alignment vertical="center"/>
    </x:xf>
    <x:xf numFmtId="205" fontId="12" fillId="4" borderId="0" xfId="0" applyNumberFormat="1" applyFont="1" applyFill="1" applyBorder="1" applyAlignment="1">
      <x:alignment vertical="center"/>
    </x:xf>
    <x:xf numFmtId="205" fontId="1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206" fontId="3" fillId="0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206" fontId="4" fillId="3" borderId="0" xfId="0" applyNumberFormat="1" applyFont="1" applyFill="1" applyBorder="1" applyAlignment="1">
      <x:alignment horizontal="center" vertical="center" wrapText="1"/>
    </x:xf>
    <x:xf numFmtId="206" fontId="8" fillId="3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0" fontId="3" fillId="0" borderId="0" xfId="0" applyNumberFormat="1" applyFont="1" applyFill="1" applyBorder="1" applyAlignment="1">
      <x:alignment vertical="center"/>
    </x:xf>
    <x:xf numFmtId="200" fontId="6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vertical="center"/>
    </x:xf>
    <x:xf numFmtId="207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vertical="center"/>
    </x:xf>
    <x:xf numFmtId="0" fontId="9" fillId="0" borderId="0" xfId="0" applyNumberFormat="1" applyFont="1" applyFill="1" applyBorder="1" applyAlignment="1">
      <x:alignment vertical="center"/>
    </x:xf>
    <x:xf numFmtId="207" fontId="10" fillId="0" borderId="0" xfId="0" applyNumberFormat="1" applyFont="1" applyFill="1" applyBorder="1" applyAlignment="1">
      <x:alignment vertical="center"/>
    </x:xf>
    <x:xf numFmtId="207" fontId="10" fillId="4" borderId="0" xfId="0" applyNumberFormat="1" applyFont="1" applyFill="1" applyBorder="1" applyAlignment="1">
      <x:alignment vertical="center"/>
    </x:xf>
    <x:xf numFmtId="0" fontId="9" fillId="4" borderId="1" xfId="0" applyNumberFormat="1" applyFont="1" applyFill="1" applyBorder="1" applyAlignment="1">
      <x:alignment vertical="center"/>
    </x:xf>
    <x:xf numFmtId="207" fontId="10" fillId="4" borderId="1" xfId="0" applyNumberFormat="1" applyFont="1" applyFill="1" applyBorder="1" applyAlignment="1">
      <x:alignment vertical="center"/>
    </x:xf>
    <x:xf numFmtId="205" fontId="3" fillId="0" borderId="0" xfId="0" applyNumberFormat="1" applyFont="1" applyFill="1" applyBorder="1" applyAlignment="1">
      <x:alignment vertical="center"/>
    </x:xf>
    <x:xf numFmtId="208" fontId="3" fillId="0" borderId="0" xfId="0" applyNumberFormat="1" applyFont="1" applyFill="1" applyBorder="1" applyAlignment="1">
      <x:alignment vertical="center"/>
    </x:xf>
    <x:xf numFmtId="207" fontId="6" fillId="0" borderId="0" xfId="0" applyNumberFormat="1" applyFont="1" applyFill="1" applyBorder="1" applyAlignment="1">
      <x:alignment horizontal="right" vertical="center"/>
    </x:xf>
    <x:xf numFmtId="207" fontId="3" fillId="0" borderId="0" xfId="0" applyNumberFormat="1" applyFont="1" applyFill="1" applyBorder="1" applyAlignment="1">
      <x:alignment horizontal="right" vertical="center"/>
    </x:xf>
    <x:xf numFmtId="205" fontId="6" fillId="0" borderId="0" xfId="0" applyNumberFormat="1" applyFont="1" applyFill="1" applyBorder="1" applyAlignment="1">
      <x:alignment vertical="center"/>
    </x:xf>
    <x:xf numFmtId="207" fontId="9" fillId="0" borderId="0" xfId="0" applyNumberFormat="1" applyFont="1" applyFill="1" applyBorder="1" applyAlignment="1">
      <x:alignment vertical="center"/>
    </x:xf>
    <x:xf numFmtId="207" fontId="9" fillId="4" borderId="0" xfId="0" applyNumberFormat="1" applyFont="1" applyFill="1" applyBorder="1" applyAlignment="1">
      <x:alignment vertical="center"/>
    </x:xf>
    <x:xf numFmtId="207" fontId="9" fillId="4" borderId="1" xfId="0" applyNumberFormat="1" applyFont="1" applyFill="1" applyBorder="1" applyAlignment="1">
      <x:alignment vertical="center"/>
    </x:xf>
    <x:xf numFmtId="209" fontId="1" fillId="0" borderId="0" xfId="0" applyNumberFormat="1" applyFont="1" applyFill="1" applyBorder="1" applyAlignment="1">
      <x:alignment vertical="center"/>
    </x:xf>
    <x:xf numFmtId="205" fontId="1" fillId="0" borderId="0" xfId="0" applyNumberFormat="1" applyFont="1" applyFill="1" applyBorder="1" applyAlignment="1">
      <x:alignment vertical="center"/>
    </x:xf>
    <x:xf numFmtId="206" fontId="1" fillId="0" borderId="0" xfId="0" applyNumberFormat="1" applyFont="1" applyFill="1" applyBorder="1" applyAlignment="1">
      <x:alignment vertical="center"/>
    </x:xf>
    <x:xf numFmtId="207" fontId="1" fillId="0" borderId="0" xfId="0" applyNumberFormat="1" applyFont="1" applyFill="1" applyBorder="1" applyAlignment="1">
      <x:alignment horizontal="right" vertical="center"/>
    </x:xf>
    <x:xf numFmtId="210" fontId="3" fillId="0" borderId="0" xfId="0" applyNumberFormat="1" applyFont="1" applyFill="1" applyBorder="1" applyAlignment="1">
      <x:alignment vertical="center"/>
    </x:xf>
    <x:xf numFmtId="21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6"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  <x:dxf>
      <x:font>
        <x:b/>
        <x:color rgb="FFA61C00"/>
      </x:font>
      <x:fill>
        <x:patternFill patternType="solid">
          <x:bgColor rgb="FFFFE0DB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1af834dcba48a3" /><Relationship Type="http://schemas.openxmlformats.org/officeDocument/2006/relationships/theme" Target="/xl/theme/theme1.xml" Id="R84af8aa3374a43b0" /><Relationship Type="http://schemas.openxmlformats.org/officeDocument/2006/relationships/sharedStrings" Target="/xl/sharedStrings.xml" Id="R2e002ddf007543da" /><Relationship Type="http://schemas.openxmlformats.org/officeDocument/2006/relationships/worksheet" Target="/xl/worksheets/sheet1.xml" Id="R57763683356c4a17" /><Relationship Type="http://schemas.openxmlformats.org/officeDocument/2006/relationships/worksheet" Target="/xl/worksheets/sheet2.xml" Id="Ra831579af1ec4be5" /><Relationship Type="http://schemas.openxmlformats.org/officeDocument/2006/relationships/worksheet" Target="/xl/worksheets/sheet3.xml" Id="R565bffdf0fec4327" /><Relationship Type="http://schemas.openxmlformats.org/officeDocument/2006/relationships/worksheet" Target="/xl/worksheets/sheet4.xml" Id="Rae5c4a5f9ddf4e5b" /><Relationship Type="http://schemas.openxmlformats.org/officeDocument/2006/relationships/worksheet" Target="/xl/worksheets/sheet5.xml" Id="Ra786e0639d024329" /><Relationship Type="http://schemas.openxmlformats.org/officeDocument/2006/relationships/worksheet" Target="/xl/worksheets/sheet6.xml" Id="R44441f5e315d49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B56"/>
  </x:sheetPr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52" hidden="0" customWidth="1"/>
    <x:col min="4" max="4" width="19" hidden="0" customWidth="1"/>
    <x:col min="5" max="5" width="3" hidden="0" customWidth="1"/>
    <x:col min="6" max="6" width="3" hidden="0" customWidth="1"/>
    <x:col min="7" max="7" width="17" hidden="0" customWidth="1"/>
    <x:col min="8" max="8" width="19" hidden="0" customWidth="1"/>
    <x:col min="9" max="9" width="19" hidden="0" customWidth="1"/>
    <x:col min="10" max="10" width="19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21" customHeight="1">
      <x:c r="A2" s="2"/>
      <x:c r="B2" s="2"/>
      <x:c r="C2" s="3" t="str">
        <x:v>Parking lots and garages underwriting</x:v>
      </x:c>
      <x:c r="D2" s="2"/>
      <x:c r="E2" s="2"/>
      <x:c r="F2" s="2"/>
      <x:c r="G2" s="2"/>
      <x:c r="H2" s="2"/>
      <x:c r="I2" s="2"/>
      <x:c r="J2" s="2"/>
      <x:c r="K2" s="2"/>
      <x:c r="L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 t="str">
        <x:v>Jaken Finance Group</x:v>
      </x:c>
      <x:c r="D4" s="2"/>
      <x:c r="E4" s="2"/>
      <x:c r="F4" s="2"/>
      <x:c r="G4" s="2"/>
      <x:c r="H4" s="2"/>
      <x:c r="I4" s="2"/>
      <x:c r="J4" s="2"/>
      <x:c r="K4" s="2"/>
      <x:c r="L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 t="str">
        <x:v>Model version 1.0.0</x:v>
      </x:c>
      <x:c r="H5" s="2"/>
      <x:c r="I5" s="2"/>
      <x:c r="J5" s="2"/>
      <x:c r="K5" s="2"/>
      <x:c r="L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21" customHeight="1">
      <x:c r="A7" s="2"/>
      <x:c r="B7" s="2"/>
      <x:c r="C7" s="2" t="str">
        <x:v>Illustrative inputs. Replace with actual records and lender terms.</x:v>
      </x:c>
      <x:c r="D7" s="2"/>
      <x:c r="E7" s="2"/>
      <x:c r="F7" s="2"/>
      <x:c r="G7" s="2"/>
      <x:c r="H7" s="2"/>
      <x:c r="I7" s="2"/>
      <x:c r="J7" s="2"/>
      <x:c r="K7" s="2"/>
      <x:c r="L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</x:row>
    <x:row r="9" ht="30" customHeight="1">
      <x:c r="A9" s="2"/>
      <x:c r="B9" s="2"/>
      <x:c r="C9" s="21" t="str">
        <x:v>Decision measure</x:v>
      </x:c>
      <x:c r="D9" s="21" t="str">
        <x:v>Selected case</x:v>
      </x:c>
      <x:c r="E9" s="2"/>
      <x:c r="F9" s="2"/>
      <x:c r="G9" s="21" t="str">
        <x:v>Month</x:v>
      </x:c>
      <x:c r="H9" s="21" t="str">
        <x:v>Cash after debt</x:v>
      </x:c>
      <x:c r="I9" s="21" t="str">
        <x:v>Operating cash</x:v>
      </x:c>
      <x:c r="J9" s="21" t="str">
        <x:v>Debt balance</x:v>
      </x:c>
      <x:c r="K9" s="2"/>
      <x:c r="L9" s="2"/>
    </x:row>
    <x:row r="10" ht="21" customHeight="1">
      <x:c r="A10" s="2"/>
      <x:c r="B10" s="2"/>
      <x:c r="C10" s="2" t="str">
        <x:v>Operating revenue</x:v>
      </x:c>
      <x:c r="D10" s="50" t="n">
        <x:f>'Operations'!E16</x:f>
        <x:v>1169895.8399999999</x:v>
      </x:c>
      <x:c r="E10" s="2"/>
      <x:c r="F10" s="2"/>
      <x:c r="G10" s="68" t="n">
        <x:f>'Operations'!G9</x:f>
        <x:v>46388</x:v>
      </x:c>
      <x:c r="H10" s="69" t="n">
        <x:f>'Debt and Funding'!G36</x:f>
        <x:v>30541.433333333334</x:v>
      </x:c>
      <x:c r="I10" s="69" t="n">
        <x:f>'Debt and Funding'!G37</x:f>
        <x:v>230541.43333333335</x:v>
      </x:c>
      <x:c r="J10" s="69" t="n">
        <x:f>'Debt and Funding'!G33</x:f>
        <x:v>4000000</x:v>
      </x:c>
      <x:c r="K10" s="2"/>
      <x:c r="L10" s="2"/>
    </x:row>
    <x:row r="11" ht="21" customHeight="1">
      <x:c r="A11" s="2"/>
      <x:c r="B11" s="2"/>
      <x:c r="C11" s="2" t="str">
        <x:v>Cash operating costs</x:v>
      </x:c>
      <x:c r="D11" s="50" t="n">
        <x:f>'Operations'!E20</x:f>
        <x:v>386042.7648</x:v>
      </x:c>
      <x:c r="E11" s="2"/>
      <x:c r="F11" s="2"/>
      <x:c r="G11" s="68" t="n">
        <x:f>'Operations'!H9</x:f>
        <x:v>46419</x:v>
      </x:c>
      <x:c r="H11" s="69" t="n">
        <x:f>'Debt and Funding'!H36</x:f>
        <x:v>35016.68333333332</x:v>
      </x:c>
      <x:c r="I11" s="69" t="n">
        <x:f>'Debt and Funding'!H37</x:f>
        <x:v>265558.1166666667</x:v>
      </x:c>
      <x:c r="J11" s="69" t="n">
        <x:f>'Debt and Funding'!H33</x:f>
        <x:v>4000000</x:v>
      </x:c>
      <x:c r="K11" s="2"/>
      <x:c r="L11" s="2"/>
    </x:row>
    <x:row r="12" ht="21" customHeight="1">
      <x:c r="A12" s="2"/>
      <x:c r="B12" s="2"/>
      <x:c r="C12" s="2" t="str">
        <x:v>NOI / operating cash</x:v>
      </x:c>
      <x:c r="D12" s="50" t="n">
        <x:f>'Operations'!E21</x:f>
        <x:v>783853.0752</x:v>
      </x:c>
      <x:c r="E12" s="2"/>
      <x:c r="F12" s="2"/>
      <x:c r="G12" s="68" t="n">
        <x:f>'Operations'!I9</x:f>
        <x:v>46447</x:v>
      </x:c>
      <x:c r="H12" s="69" t="n">
        <x:f>'Debt and Funding'!I36</x:f>
        <x:v>41213.183333333334</x:v>
      </x:c>
      <x:c r="I12" s="69" t="n">
        <x:f>'Debt and Funding'!I37</x:f>
        <x:v>306771.30000000005</x:v>
      </x:c>
      <x:c r="J12" s="69" t="n">
        <x:f>'Debt and Funding'!I33</x:f>
        <x:v>4000000</x:v>
      </x:c>
      <x:c r="K12" s="2"/>
      <x:c r="L12" s="2"/>
    </x:row>
    <x:row r="13" ht="21" customHeight="1">
      <x:c r="A13" s="2"/>
      <x:c r="B13" s="2"/>
      <x:c r="C13" s="2" t="str">
        <x:v>Annual reserve deposits</x:v>
      </x:c>
      <x:c r="D13" s="50" t="n">
        <x:f>'Operations'!E22</x:f>
        <x:v>35096.8752</x:v>
      </x:c>
      <x:c r="E13" s="2"/>
      <x:c r="F13" s="2"/>
      <x:c r="G13" s="68" t="n">
        <x:f>'Operations'!J9</x:f>
        <x:v>46478</x:v>
      </x:c>
      <x:c r="H13" s="69" t="n">
        <x:f>'Debt and Funding'!J36</x:f>
        <x:v>39147.683333333334</x:v>
      </x:c>
      <x:c r="I13" s="69" t="n">
        <x:f>'Debt and Funding'!J37</x:f>
        <x:v>345918.9833333334</x:v>
      </x:c>
      <x:c r="J13" s="69" t="n">
        <x:f>'Debt and Funding'!J33</x:f>
        <x:v>4000000</x:v>
      </x:c>
      <x:c r="K13" s="2"/>
      <x:c r="L13" s="2"/>
    </x:row>
    <x:row r="14" ht="21" customHeight="1">
      <x:c r="A14" s="2"/>
      <x:c r="B14" s="2"/>
      <x:c r="C14" s="2" t="str">
        <x:v>Cash NCF before debt and capital</x:v>
      </x:c>
      <x:c r="D14" s="50" t="n">
        <x:f>'Operations'!E23</x:f>
        <x:v>748756.1999999998</x:v>
      </x:c>
      <x:c r="E14" s="2"/>
      <x:c r="F14" s="2"/>
      <x:c r="G14" s="68" t="n">
        <x:f>'Operations'!K9</x:f>
        <x:v>46508</x:v>
      </x:c>
      <x:c r="H14" s="69" t="n">
        <x:f>'Debt and Funding'!K36</x:f>
        <x:v>41213.183333333334</x:v>
      </x:c>
      <x:c r="I14" s="69" t="n">
        <x:f>'Debt and Funding'!K37</x:f>
        <x:v>387132.16666666674</x:v>
      </x:c>
      <x:c r="J14" s="69" t="n">
        <x:f>'Debt and Funding'!K33</x:f>
        <x:v>4000000</x:v>
      </x:c>
      <x:c r="K14" s="2"/>
      <x:c r="L14" s="2"/>
    </x:row>
    <x:row r="15" ht="21" customHeight="1">
      <x:c r="A15" s="2"/>
      <x:c r="B15" s="2"/>
      <x:c r="C15" s="2" t="str">
        <x:v>Annual underwritten NCF</x:v>
      </x:c>
      <x:c r="D15" s="50" t="n">
        <x:f>'Debt and Funding'!D9</x:f>
        <x:v>748756.1999999998</x:v>
      </x:c>
      <x:c r="E15" s="2"/>
      <x:c r="F15" s="2"/>
      <x:c r="G15" s="68" t="n">
        <x:f>'Operations'!L9</x:f>
        <x:v>46539</x:v>
      </x:c>
      <x:c r="H15" s="69" t="n">
        <x:f>'Debt and Funding'!L36</x:f>
        <x:v>39147.683333333334</x:v>
      </x:c>
      <x:c r="I15" s="69" t="n">
        <x:f>'Debt and Funding'!L37</x:f>
        <x:v>426279.8500000001</x:v>
      </x:c>
      <x:c r="J15" s="69" t="n">
        <x:f>'Debt and Funding'!L33</x:f>
        <x:v>4000000</x:v>
      </x:c>
      <x:c r="K15" s="2"/>
      <x:c r="L15" s="2"/>
    </x:row>
    <x:row r="16" ht="21" customHeight="1">
      <x:c r="A16" s="2"/>
      <x:c r="B16" s="2"/>
      <x:c r="C16" s="2" t="str">
        <x:v>DSCR loan capacity</x:v>
      </x:c>
      <x:c r="D16" s="50" t="n">
        <x:f>'Debt and Funding'!D11</x:f>
        <x:v>7392854.053912996</x:v>
      </x:c>
      <x:c r="E16" s="2"/>
      <x:c r="F16" s="2"/>
      <x:c r="G16" s="68" t="n">
        <x:f>'Operations'!M9</x:f>
        <x:v>46569</x:v>
      </x:c>
      <x:c r="H16" s="69" t="n">
        <x:f>'Debt and Funding'!M36</x:f>
        <x:v>-121628.43645390566</x:v>
      </x:c>
      <x:c r="I16" s="69" t="n">
        <x:f>'Debt and Funding'!M37</x:f>
        <x:v>304651.41354609444</x:v>
      </x:c>
      <x:c r="J16" s="69" t="n">
        <x:f>'Debt and Funding'!M33</x:f>
        <x:v>3994658.380212761</x:v>
      </x:c>
      <x:c r="K16" s="2"/>
      <x:c r="L16" s="2"/>
    </x:row>
    <x:row r="17" ht="21" customHeight="1">
      <x:c r="A17" s="2"/>
      <x:c r="B17" s="2"/>
      <x:c r="C17" s="2" t="str">
        <x:v>LTV loan capacity</x:v>
      </x:c>
      <x:c r="D17" s="50" t="n">
        <x:f>'Debt and Funding'!D12</x:f>
        <x:v>4225000</x:v>
      </x:c>
      <x:c r="E17" s="2"/>
      <x:c r="F17" s="2"/>
      <x:c r="G17" s="68" t="n">
        <x:f>'Operations'!N9</x:f>
        <x:v>46600</x:v>
      </x:c>
      <x:c r="H17" s="69" t="n">
        <x:f>'Debt and Funding'!N36</x:f>
        <x:v>35871.563546094345</x:v>
      </x:c>
      <x:c r="I17" s="69" t="n">
        <x:f>'Debt and Funding'!N37</x:f>
        <x:v>340522.9770921888</x:v>
      </x:c>
      <x:c r="J17" s="69" t="n">
        <x:f>'Debt and Funding'!N33</x:f>
        <x:v>3989287.826651674</x:v>
      </x:c>
      <x:c r="K17" s="2"/>
      <x:c r="L17" s="2"/>
    </x:row>
    <x:row r="18" ht="21" customHeight="1">
      <x:c r="A18" s="2"/>
      <x:c r="B18" s="2"/>
      <x:c r="C18" s="2" t="str">
        <x:v>Debt-yield loan capacity</x:v>
      </x:c>
      <x:c r="D18" s="50" t="n">
        <x:f>'Debt and Funding'!D13</x:f>
        <x:v>8319513.333333332</x:v>
      </x:c>
      <x:c r="E18" s="2"/>
      <x:c r="F18" s="2"/>
      <x:c r="G18" s="68" t="n">
        <x:f>'Operations'!O9</x:f>
        <x:v>46631</x:v>
      </x:c>
      <x:c r="H18" s="69" t="n">
        <x:f>'Debt and Funding'!O36</x:f>
        <x:v>33806.063546094345</x:v>
      </x:c>
      <x:c r="I18" s="69" t="n">
        <x:f>'Debt and Funding'!O37</x:f>
        <x:v>374329.0406382831</x:v>
      </x:c>
      <x:c r="J18" s="69" t="n">
        <x:f>'Debt and Funding'!O33</x:f>
        <x:v>3983888.1825921317</x:v>
      </x:c>
      <x:c r="K18" s="2"/>
      <x:c r="L18" s="2"/>
    </x:row>
    <x:row r="19" ht="21" customHeight="1">
      <x:c r="A19" s="2"/>
      <x:c r="B19" s="2"/>
      <x:c r="C19" s="56" t="str">
        <x:v>Sized loan</x:v>
      </x:c>
      <x:c r="D19" s="65" t="n">
        <x:f>'Debt and Funding'!D14</x:f>
        <x:v>4000000</x:v>
      </x:c>
      <x:c r="E19" s="2"/>
      <x:c r="F19" s="2"/>
      <x:c r="G19" s="68" t="n">
        <x:f>'Operations'!P9</x:f>
        <x:v>46661</x:v>
      </x:c>
      <x:c r="H19" s="69" t="n">
        <x:f>'Debt and Funding'!P36</x:f>
        <x:v>35871.563546094345</x:v>
      </x:c>
      <x:c r="I19" s="69" t="n">
        <x:f>'Debt and Funding'!P37</x:f>
        <x:v>410200.6041843775</x:v>
      </x:c>
      <x:c r="J19" s="69" t="n">
        <x:f>'Debt and Funding'!P33</x:f>
        <x:v>3978459.2904606</x:v>
      </x:c>
      <x:c r="K19" s="2"/>
      <x:c r="L19" s="2"/>
    </x:row>
    <x:row r="20" ht="21" customHeight="1">
      <x:c r="A20" s="2"/>
      <x:c r="B20" s="2"/>
      <x:c r="C20" s="2" t="str">
        <x:v>Binding constraint (ties may exist)</x:v>
      </x:c>
      <x:c r="D20" s="66" t="str">
        <x:f>'Debt and Funding'!D15</x:f>
        <x:v>Requested ceiling</x:v>
      </x:c>
      <x:c r="E20" s="2"/>
      <x:c r="F20" s="2"/>
      <x:c r="G20" s="68" t="n">
        <x:f>'Operations'!Q9</x:f>
        <x:v>46692</x:v>
      </x:c>
      <x:c r="H20" s="69" t="n">
        <x:f>'Debt and Funding'!Q36</x:f>
        <x:v>33806.063546094345</x:v>
      </x:c>
      <x:c r="I20" s="69" t="n">
        <x:f>'Debt and Funding'!Q37</x:f>
        <x:v>444006.6677304718</x:v>
      </x:c>
      <x:c r="J20" s="69" t="n">
        <x:f>'Debt and Funding'!Q33</x:f>
        <x:v>3973000.9918300225</x:v>
      </x:c>
      <x:c r="K20" s="2"/>
      <x:c r="L20" s="2"/>
    </x:row>
    <x:row r="21" ht="21" customHeight="1">
      <x:c r="A21" s="2"/>
      <x:c r="B21" s="2"/>
      <x:c r="C21" s="2" t="str">
        <x:v>First-year debt service</x:v>
      </x:c>
      <x:c r="D21" s="50" t="n">
        <x:f>'Debt and Funding'!D43</x:f>
        <x:v>292049.718723434</x:v>
      </x:c>
      <x:c r="E21" s="2"/>
      <x:c r="F21" s="2"/>
      <x:c r="G21" s="68" t="n">
        <x:f>'Operations'!R9</x:f>
        <x:v>46722</x:v>
      </x:c>
      <x:c r="H21" s="69" t="n">
        <x:f>'Debt and Funding'!R36</x:f>
        <x:v>25199.813546094334</x:v>
      </x:c>
      <x:c r="I21" s="69" t="n">
        <x:f>'Debt and Funding'!R37</x:f>
        <x:v>469206.48127656616</x:v>
      </x:c>
      <x:c r="J21" s="69" t="n">
        <x:f>'Debt and Funding'!R33</x:f>
        <x:v>3967513.127415196</x:v>
      </x:c>
      <x:c r="K21" s="2"/>
      <x:c r="L21" s="2"/>
    </x:row>
    <x:row r="22" ht="21" customHeight="1">
      <x:c r="A22" s="2"/>
      <x:c r="B22" s="2"/>
      <x:c r="C22" s="2" t="str">
        <x:v>First-year underwritten DSCR</x:v>
      </x:c>
      <x:c r="D22" s="67" t="n">
        <x:f>'Debt and Funding'!D44</x:f>
        <x:v>2.563797024947861</x:v>
      </x:c>
      <x:c r="E22" s="2"/>
      <x:c r="F22" s="2"/>
      <x:c r="G22" s="2"/>
      <x:c r="H22" s="2"/>
      <x:c r="I22" s="2"/>
      <x:c r="J22" s="2"/>
      <x:c r="K22" s="2"/>
      <x:c r="L22" s="2"/>
    </x:row>
    <x:row r="23" ht="21" customHeight="1">
      <x:c r="A23" s="2"/>
      <x:c r="B23" s="2"/>
      <x:c r="C23" s="2" t="str">
        <x:v>Signed closing equity requirement</x:v>
      </x:c>
      <x:c r="D23" s="50" t="n">
        <x:f>'Debt and Funding'!D18</x:f>
        <x:v>2450000</x:v>
      </x:c>
      <x:c r="E23" s="2"/>
      <x:c r="F23" s="2"/>
      <x:c r="G23" s="2"/>
      <x:c r="H23" s="2"/>
      <x:c r="I23" s="2"/>
      <x:c r="J23" s="2"/>
      <x:c r="K23" s="2"/>
      <x:c r="L23" s="2"/>
    </x:row>
    <x:row r="24" ht="21" customHeight="1">
      <x:c r="A24" s="2"/>
      <x:c r="B24" s="2"/>
      <x:c r="C24" s="2" t="str">
        <x:v>Available equity less closing need</x:v>
      </x:c>
      <x:c r="D24" s="50" t="n">
        <x:f>'Debt and Funding'!D19</x:f>
        <x:v>850000</x:v>
      </x:c>
      <x:c r="E24" s="2"/>
      <x:c r="F24" s="2"/>
      <x:c r="G24" s="2"/>
      <x:c r="H24" s="2"/>
      <x:c r="I24" s="2"/>
      <x:c r="J24" s="2"/>
      <x:c r="K24" s="2"/>
      <x:c r="L24" s="2"/>
    </x:row>
    <x:row r="25" ht="21" customHeight="1">
      <x:c r="A25" s="2"/>
      <x:c r="B25" s="2"/>
      <x:c r="C25" s="2" t="str">
        <x:v>Additional operating cash need</x:v>
      </x:c>
      <x:c r="D25" s="50" t="n">
        <x:f>'Debt and Funding'!D46</x:f>
        <x:v>0</x:v>
      </x:c>
      <x:c r="E25" s="2"/>
      <x:c r="F25" s="2"/>
      <x:c r="G25" s="2" t="str">
        <x:v>Start with Assumptions D5: 1 Base or 2 Downside.</x:v>
      </x:c>
      <x:c r="H25" s="2"/>
      <x:c r="I25" s="2"/>
      <x:c r="J25" s="2"/>
      <x:c r="K25" s="2"/>
      <x:c r="L25" s="2"/>
    </x:row>
    <x:row r="26" ht="21" customHeight="1">
      <x:c r="A26" s="2"/>
      <x:c r="B26" s="2"/>
      <x:c r="C26" s="56" t="str">
        <x:v>Sponsor cash after all modeled needs</x:v>
      </x:c>
      <x:c r="D26" s="65" t="n">
        <x:f>'Debt and Funding'!D47</x:f>
        <x:v>850000</x:v>
      </x:c>
      <x:c r="E26" s="2"/>
      <x:c r="F26" s="2"/>
      <x:c r="G26" s="2"/>
      <x:c r="H26" s="2"/>
      <x:c r="I26" s="2"/>
      <x:c r="J26" s="2"/>
      <x:c r="K26" s="2"/>
      <x:c r="L26" s="2"/>
    </x:row>
    <x:row r="27" ht="21" customHeight="1">
      <x:c r="A27" s="2"/>
      <x:c r="B27" s="2"/>
      <x:c r="C27" s="2" t="str">
        <x:v>Year-end principal</x:v>
      </x:c>
      <x:c r="D27" s="50" t="n">
        <x:f>'Debt and Funding'!D45</x:f>
        <x:v>3967513.127415196</x:v>
      </x:c>
      <x:c r="E27" s="2"/>
      <x:c r="F27" s="2"/>
      <x:c r="G27" s="2" t="str">
        <x:v>Edit blue cells in Permits and Transient Parking and Assumptions.</x:v>
      </x:c>
      <x:c r="H27" s="2"/>
      <x:c r="I27" s="2"/>
      <x:c r="J27" s="2"/>
      <x:c r="K27" s="2"/>
      <x:c r="L27" s="2"/>
    </x:row>
    <x:row r="28" ht="21" customHeight="1">
      <x:c r="A28" s="2"/>
      <x:c r="B28" s="2"/>
      <x:c r="C28" s="2" t="str">
        <x:v>Principal due at maturity</x:v>
      </x:c>
      <x:c r="D28" s="50" t="n">
        <x:f>'Debt and Funding'!D20</x:f>
        <x:v>3665977.2202815325</x:v>
      </x:c>
      <x:c r="E28" s="2"/>
      <x:c r="F28" s="2"/>
      <x:c r="G28" s="2"/>
      <x:c r="H28" s="2"/>
      <x:c r="I28" s="2"/>
      <x:c r="J28" s="2"/>
      <x:c r="K28" s="2"/>
      <x:c r="L28" s="2"/>
    </x:row>
    <x:row r="29" ht="21" customHeight="1">
      <x:c r="A29" s="2"/>
      <x:c r="B29" s="2"/>
      <x:c r="C29" s="2"/>
      <x:c r="D29" s="2"/>
      <x:c r="E29" s="2"/>
      <x:c r="F29" s="2"/>
      <x:c r="G29" s="2" t="str">
        <x:v>Trace monthly operations into Debt and Funding.</x:v>
      </x:c>
      <x:c r="H29" s="2"/>
      <x:c r="I29" s="2"/>
      <x:c r="J29" s="2"/>
      <x:c r="K29" s="2"/>
      <x:c r="L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21" customHeight="1">
      <x:c r="A31" s="2"/>
      <x:c r="B31" s="2"/>
      <x:c r="C31" s="2"/>
      <x:c r="D31" s="2"/>
      <x:c r="E31" s="2"/>
      <x:c r="F31" s="2"/>
      <x:c r="G31" s="2" t="str">
        <x:v>Review unavailable outputs and the Review checks.</x:v>
      </x:c>
      <x:c r="H31" s="2"/>
      <x:c r="I31" s="2"/>
      <x:c r="J31" s="2"/>
      <x:c r="K31" s="2"/>
      <x:c r="L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21" customHeight="1">
      <x:c r="A33" s="2"/>
      <x:c r="B33" s="2"/>
      <x:c r="C33" s="2"/>
      <x:c r="D33" s="2"/>
      <x:c r="E33" s="2"/>
      <x:c r="F33" s="2"/>
      <x:c r="G33" s="2" t="str">
        <x:v>Sizing is quantitative capacity, subject to actual lender approval.</x:v>
      </x:c>
      <x:c r="H33" s="2"/>
      <x:c r="I33" s="2"/>
      <x:c r="J33" s="2"/>
      <x:c r="K33" s="2"/>
      <x:c r="L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</x:sheetData>
  <x:conditionalFormatting sqref="D14:D14">
    <x:cfRule type="cellIs" dxfId="2" priority="1" operator="lessThan">
      <x:formula>0</x:formula>
    </x:cfRule>
  </x:conditionalFormatting>
  <x:conditionalFormatting sqref="D24:D24">
    <x:cfRule type="cellIs" dxfId="3" priority="2" operator="lessThan">
      <x:formula>0</x:formula>
    </x:cfRule>
  </x:conditionalFormatting>
  <x:conditionalFormatting sqref="D26:D26">
    <x:cfRule type="cellIs" dxfId="4" priority="3" operator="less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51768A"/>
  </x:sheetPr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8" hidden="0" customWidth="1"/>
    <x:col min="4" max="4" width="18" hidden="0" customWidth="1"/>
    <x:col min="5" max="5" width="15" hidden="0" customWidth="1"/>
    <x:col min="6" max="6" width="3" hidden="0" customWidth="1"/>
    <x:col min="7" max="7" width="65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Assumptions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selector (1 Base, 2 Downside)</x:v>
      </x:c>
      <x:c r="D5" s="12" t="n">
        <x:v>1</x:v>
      </x:c>
      <x:c r="E5" s="2"/>
      <x:c r="F5" s="2"/>
      <x:c r="G5" s="2" t="str">
        <x:v>Source: all numbers are illustrative teaching assumptions.</x:v>
      </x:c>
      <x:c r="H5" s="2"/>
      <x:c r="I5" s="2"/>
      <x:c r="J5" s="2"/>
    </x:row>
    <x:row r="6" ht="21" customHeight="1">
      <x:c r="A6" s="2"/>
      <x:c r="B6" s="2"/>
      <x:c r="C6" s="2"/>
      <x:c r="D6" s="13" t="str">
        <x:f>IF(D5=1,"Base",IF(D5=2,"Downside","Select 1 or 2"))</x:f>
        <x:v>Base</x:v>
      </x:c>
      <x:c r="E6" s="2"/>
      <x:c r="F6" s="2"/>
      <x:c r="G6" s="2" t="str">
        <x:v>Blue text / amber fill: editable. Black: formula. Green: linked.</x:v>
      </x:c>
      <x:c r="H6" s="2"/>
      <x:c r="I6" s="2"/>
      <x:c r="J6" s="2"/>
    </x:row>
    <x:row r="7" ht="21" customHeight="1">
      <x:c r="A7" s="2"/>
      <x:c r="B7" s="2"/>
      <x:c r="C7" s="2" t="str">
        <x:v>Illustrative calendar year</x:v>
      </x:c>
      <x:c r="D7" s="17" t="n">
        <x:v>2027</x:v>
      </x:c>
      <x:c r="E7" s="2"/>
      <x:c r="F7" s="2"/>
      <x:c r="G7" s="2" t="str">
        <x:v>Enter percentages as Excel percentages (6.5% = 0.065).</x:v>
      </x:c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Driver and selected value</x:v>
      </x:c>
      <x:c r="D9" s="21" t="str">
        <x:v>Value</x:v>
      </x:c>
      <x:c r="E9" s="21" t="str">
        <x:v>Unit</x:v>
      </x:c>
      <x:c r="F9" s="2"/>
      <x:c r="G9" s="2"/>
      <x:c r="H9" s="2"/>
      <x:c r="I9" s="2"/>
      <x:c r="J9" s="2"/>
    </x:row>
    <x:row r="10" ht="35" customHeight="1">
      <x:c r="A10" s="2"/>
      <x:c r="B10" s="2"/>
      <x:c r="C10" s="24" t="str">
        <x:v>Property value</x:v>
      </x:c>
      <x:c r="D10" s="26" t="n">
        <x:f>IF($D$5=1,IF(ISNUMBER(D11),IF(AND(D11&gt;=0,D11&lt;=1000000000000),D11,"n.a."),"n.a."),IF($D$5=2,IF(ISNUMBER(D12),IF(AND(D12&gt;=0,D12&lt;=1000000000000),D12,"n.a."),"n.a."),"n.a."))</x:f>
        <x:v>6500000</x:v>
      </x:c>
      <x:c r="E10" s="22" t="str">
        <x:v>USD</x:v>
      </x:c>
      <x:c r="F10" s="2"/>
      <x:c r="G10" s="42" t="str">
        <x:v>All costs are positive inputs; calculated cash shortfalls remain negative.</x:v>
      </x:c>
      <x:c r="H10" s="2"/>
      <x:c r="I10" s="2"/>
      <x:c r="J10" s="2"/>
    </x:row>
    <x:row r="11" ht="21" customHeight="1">
      <x:c r="A11" s="2"/>
      <x:c r="B11" s="2"/>
      <x:c r="C11" s="28" t="str">
        <x:v>Base</x:v>
      </x:c>
      <x:c r="D11" s="27" t="n">
        <x:v>6500000</x:v>
      </x:c>
      <x:c r="E11" s="2"/>
      <x:c r="F11" s="2"/>
      <x:c r="G11" s="2"/>
      <x:c r="H11" s="2"/>
      <x:c r="I11" s="2"/>
      <x:c r="J11" s="2"/>
    </x:row>
    <x:row r="12" ht="35" customHeight="1">
      <x:c r="A12" s="2"/>
      <x:c r="B12" s="2"/>
      <x:c r="C12" s="28" t="str">
        <x:v>Downside</x:v>
      </x:c>
      <x:c r="D12" s="27" t="n">
        <x:v>5500000</x:v>
      </x:c>
      <x:c r="E12" s="2"/>
      <x:c r="F12" s="2"/>
      <x:c r="G12" s="42" t="str">
        <x:v>Missing or invalid selected inputs return n.a.; a valid zero remains zero.</x:v>
      </x:c>
      <x:c r="H12" s="2"/>
      <x:c r="I12" s="2"/>
      <x:c r="J12" s="2"/>
    </x:row>
    <x:row r="13" ht="21" customHeight="1">
      <x:c r="A13" s="2"/>
      <x:c r="B13" s="2"/>
      <x:c r="C13" s="24" t="str">
        <x:v>Acquisition price</x:v>
      </x:c>
      <x:c r="D13" s="26" t="n">
        <x:f>IF($D$5=1,IF(ISNUMBER(D14),IF(AND(D14&gt;=0,D14&lt;=1000000000000),D14,"n.a."),"n.a."),IF($D$5=2,IF(ISNUMBER(D15),IF(AND(D15&gt;=0,D15&lt;=1000000000000),D15,"n.a."),"n.a."),"n.a."))</x:f>
        <x:v>6000000</x:v>
      </x:c>
      <x:c r="E13" s="22" t="str">
        <x:v>USD</x:v>
      </x:c>
      <x:c r="F13" s="2"/>
      <x:c r="G13" s="2"/>
      <x:c r="H13" s="2"/>
      <x:c r="I13" s="2"/>
      <x:c r="J13" s="2"/>
    </x:row>
    <x:row r="14" ht="35" customHeight="1">
      <x:c r="A14" s="2"/>
      <x:c r="B14" s="2"/>
      <x:c r="C14" s="28" t="str">
        <x:v>Base</x:v>
      </x:c>
      <x:c r="D14" s="27" t="n">
        <x:v>6000000</x:v>
      </x:c>
      <x:c r="E14" s="2"/>
      <x:c r="F14" s="2"/>
      <x:c r="G14" s="42" t="str">
        <x:v>Downside inputs feed the same model. Change D5 to recalculate.</x:v>
      </x:c>
      <x:c r="H14" s="2"/>
      <x:c r="I14" s="2"/>
      <x:c r="J14" s="2"/>
    </x:row>
    <x:row r="15" ht="21" customHeight="1">
      <x:c r="A15" s="2"/>
      <x:c r="B15" s="2"/>
      <x:c r="C15" s="28" t="str">
        <x:v>Downside</x:v>
      </x:c>
      <x:c r="D15" s="27" t="n">
        <x:v>6000000</x:v>
      </x:c>
      <x:c r="E15" s="2"/>
      <x:c r="F15" s="2"/>
      <x:c r="G15" s="2"/>
      <x:c r="H15" s="2"/>
      <x:c r="I15" s="2"/>
      <x:c r="J15" s="2"/>
    </x:row>
    <x:row r="16" ht="35" customHeight="1">
      <x:c r="A16" s="2"/>
      <x:c r="B16" s="2"/>
      <x:c r="C16" s="24" t="str">
        <x:v>Closing costs</x:v>
      </x:c>
      <x:c r="D16" s="26" t="n">
        <x:f>IF($D$5=1,IF(ISNUMBER(D17),IF(AND(D17&gt;=0,D17&lt;=1000000000000),D17,"n.a."),"n.a."),IF($D$5=2,IF(ISNUMBER(D18),IF(AND(D18&gt;=0,D18&lt;=1000000000000),D18,"n.a."),"n.a."),"n.a."))</x:f>
        <x:v>150000</x:v>
      </x:c>
      <x:c r="E16" s="22" t="str">
        <x:v>USD</x:v>
      </x:c>
      <x:c r="F16" s="2"/>
      <x:c r="G16" s="42" t="str">
        <x:v>NCF adjustment changes sizing only, not cash actually available.</x:v>
      </x:c>
      <x:c r="H16" s="2"/>
      <x:c r="I16" s="2"/>
      <x:c r="J16" s="2"/>
    </x:row>
    <x:row r="17" ht="21" customHeight="1">
      <x:c r="A17" s="2"/>
      <x:c r="B17" s="2"/>
      <x:c r="C17" s="28" t="str">
        <x:v>Base</x:v>
      </x:c>
      <x:c r="D17" s="27" t="n">
        <x:v>150000</x:v>
      </x:c>
      <x:c r="E17" s="2"/>
      <x:c r="F17" s="2"/>
      <x:c r="G17" s="2"/>
      <x:c r="H17" s="2"/>
      <x:c r="I17" s="2"/>
      <x:c r="J17" s="2"/>
    </x:row>
    <x:row r="18" ht="35" customHeight="1">
      <x:c r="A18" s="2"/>
      <x:c r="B18" s="2"/>
      <x:c r="C18" s="28" t="str">
        <x:v>Downside</x:v>
      </x:c>
      <x:c r="D18" s="27" t="n">
        <x:v>150000</x:v>
      </x:c>
      <x:c r="E18" s="2"/>
      <x:c r="F18" s="2"/>
      <x:c r="G18" s="42" t="str">
        <x:v>Current debt service may be IO; DSCR capacity uses amortizing service.</x:v>
      </x:c>
      <x:c r="H18" s="2"/>
      <x:c r="I18" s="2"/>
      <x:c r="J18" s="2"/>
    </x:row>
    <x:row r="19" ht="21" customHeight="1">
      <x:c r="A19" s="2"/>
      <x:c r="B19" s="2"/>
      <x:c r="C19" s="24" t="str">
        <x:v>Restricted closing reserves</x:v>
      </x:c>
      <x:c r="D19" s="26" t="n">
        <x:f>IF($D$5=1,IF(ISNUMBER(D20),IF(AND(D20&gt;=0,D20&lt;=1000000000000),D20,"n.a."),"n.a."),IF($D$5=2,IF(ISNUMBER(D21),IF(AND(D21&gt;=0,D21&lt;=1000000000000),D21,"n.a."),"n.a."),"n.a."))</x:f>
        <x:v>100000</x:v>
      </x:c>
      <x:c r="E19" s="22" t="str">
        <x:v>USD</x:v>
      </x:c>
      <x:c r="F19" s="2"/>
      <x:c r="G19" s="2"/>
      <x:c r="H19" s="2"/>
      <x:c r="I19" s="2"/>
      <x:c r="J19" s="2"/>
    </x:row>
    <x:row r="20" ht="35" customHeight="1">
      <x:c r="A20" s="2"/>
      <x:c r="B20" s="2"/>
      <x:c r="C20" s="28" t="str">
        <x:v>Base</x:v>
      </x:c>
      <x:c r="D20" s="27" t="n">
        <x:v>100000</x:v>
      </x:c>
      <x:c r="E20" s="2"/>
      <x:c r="F20" s="2"/>
      <x:c r="G20" s="42" t="str">
        <x:v>Restricted closing reserves are not available operating cash.</x:v>
      </x:c>
      <x:c r="H20" s="2"/>
      <x:c r="I20" s="2"/>
      <x:c r="J20" s="2"/>
    </x:row>
    <x:row r="21" ht="21" customHeight="1">
      <x:c r="A21" s="2"/>
      <x:c r="B21" s="2"/>
      <x:c r="C21" s="28" t="str">
        <x:v>Downside</x:v>
      </x:c>
      <x:c r="D21" s="27" t="n">
        <x:v>100000</x:v>
      </x:c>
      <x:c r="E21" s="2"/>
      <x:c r="F21" s="2"/>
      <x:c r="G21" s="2"/>
      <x:c r="H21" s="2"/>
      <x:c r="I21" s="2"/>
      <x:c r="J21" s="2"/>
    </x:row>
    <x:row r="22" ht="35" customHeight="1">
      <x:c r="A22" s="2"/>
      <x:c r="B22" s="2"/>
      <x:c r="C22" s="24" t="str">
        <x:v>Opening operating cash</x:v>
      </x:c>
      <x:c r="D22" s="26" t="n">
        <x:f>IF($D$5=1,IF(ISNUMBER(D23),IF(AND(D23&gt;=0,D23&lt;=1000000000000),D23,"n.a."),"n.a."),IF($D$5=2,IF(ISNUMBER(D24),IF(AND(D24&gt;=0,D24&lt;=1000000000000),D24,"n.a."),"n.a."),"n.a."))</x:f>
        <x:v>200000</x:v>
      </x:c>
      <x:c r="E22" s="22" t="str">
        <x:v>USD</x:v>
      </x:c>
      <x:c r="F22" s="2"/>
      <x:c r="G22" s="42" t="str">
        <x:v>Opening operating cash is funded in closing uses exactly once.</x:v>
      </x:c>
      <x:c r="H22" s="2"/>
      <x:c r="I22" s="2"/>
      <x:c r="J22" s="2"/>
    </x:row>
    <x:row r="23" ht="21" customHeight="1">
      <x:c r="A23" s="2"/>
      <x:c r="B23" s="2"/>
      <x:c r="C23" s="28" t="str">
        <x:v>Base</x:v>
      </x:c>
      <x:c r="D23" s="27" t="n">
        <x:v>200000</x:v>
      </x:c>
      <x:c r="E23" s="2"/>
      <x:c r="F23" s="2"/>
      <x:c r="G23" s="2"/>
      <x:c r="H23" s="2"/>
      <x:c r="I23" s="2"/>
      <x:c r="J23" s="2"/>
    </x:row>
    <x:row r="24" ht="35" customHeight="1">
      <x:c r="A24" s="2"/>
      <x:c r="B24" s="2"/>
      <x:c r="C24" s="28" t="str">
        <x:v>Downside</x:v>
      </x:c>
      <x:c r="D24" s="27" t="n">
        <x:v>200000</x:v>
      </x:c>
      <x:c r="E24" s="2"/>
      <x:c r="F24" s="2"/>
      <x:c r="G24" s="42" t="str">
        <x:v>Reserve deposits use nonnegative revenue; negative revenue never creates a reserve cash credit.</x:v>
      </x:c>
      <x:c r="H24" s="2"/>
      <x:c r="I24" s="2"/>
      <x:c r="J24" s="2"/>
    </x:row>
    <x:row r="25" ht="21" customHeight="1">
      <x:c r="A25" s="2"/>
      <x:c r="B25" s="2"/>
      <x:c r="C25" s="24" t="str">
        <x:v>Available sponsor equity</x:v>
      </x:c>
      <x:c r="D25" s="26" t="n">
        <x:f>IF($D$5=1,IF(ISNUMBER(D26),IF(AND(D26&gt;=0,D26&lt;=1000000000000),D26,"n.a."),"n.a."),IF($D$5=2,IF(ISNUMBER(D27),IF(AND(D27&gt;=0,D27&lt;=1000000000000),D27,"n.a."),"n.a."),"n.a."))</x:f>
        <x:v>3300000</x:v>
      </x:c>
      <x:c r="E25" s="22" t="str">
        <x:v>USD</x:v>
      </x:c>
      <x:c r="F25" s="2"/>
      <x:c r="G25" s="2"/>
      <x:c r="H25" s="2"/>
      <x:c r="I25" s="2"/>
      <x:c r="J25" s="2"/>
    </x:row>
    <x:row r="26" ht="21" customHeight="1">
      <x:c r="A26" s="2"/>
      <x:c r="B26" s="2"/>
      <x:c r="C26" s="28" t="str">
        <x:v>Base</x:v>
      </x:c>
      <x:c r="D26" s="27" t="n">
        <x:v>3300000</x:v>
      </x:c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8" t="str">
        <x:v>Downside</x:v>
      </x:c>
      <x:c r="D27" s="27" t="n">
        <x:v>3300000</x:v>
      </x:c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4" t="str">
        <x:v>Requested loan ceiling</x:v>
      </x:c>
      <x:c r="D28" s="26" t="n">
        <x:f>IF($D$5=1,IF(ISNUMBER(D29),IF(AND(D29&gt;=0,D29&lt;=1000000000000),D29,"n.a."),"n.a."),IF($D$5=2,IF(ISNUMBER(D30),IF(AND(D30&gt;=0,D30&lt;=1000000000000),D30,"n.a."),"n.a."),"n.a."))</x:f>
        <x:v>4000000</x:v>
      </x:c>
      <x:c r="E28" s="22" t="str">
        <x:v>USD</x:v>
      </x:c>
      <x:c r="F28" s="2"/>
      <x:c r="G28" s="2"/>
      <x:c r="H28" s="2"/>
      <x:c r="I28" s="2"/>
      <x:c r="J28" s="2"/>
    </x:row>
    <x:row r="29" ht="21" customHeight="1">
      <x:c r="A29" s="2"/>
      <x:c r="B29" s="2"/>
      <x:c r="C29" s="28" t="str">
        <x:v>Base</x:v>
      </x:c>
      <x:c r="D29" s="27" t="n">
        <x:v>4000000</x:v>
      </x:c>
      <x:c r="E29" s="2"/>
      <x:c r="F29" s="2"/>
      <x:c r="G29" s="2"/>
      <x:c r="H29" s="2"/>
      <x:c r="I29" s="2"/>
      <x:c r="J29" s="2"/>
    </x:row>
    <x:row r="30" ht="75" customHeight="1">
      <x:c r="A30" s="2"/>
      <x:c r="B30" s="2"/>
      <x:c r="C30" s="28" t="str">
        <x:v>Downside</x:v>
      </x:c>
      <x:c r="D30" s="27" t="n">
        <x:v>4000000</x:v>
      </x:c>
      <x:c r="E30" s="2"/>
      <x:c r="F30" s="2"/>
      <x:c r="G30" s="42" t="str">
        <x:v>Permit-reserved spaces are excluded from transient inventory for the entire month, including unpaid permit spaces. No after-hours sharing or overselling is credited. Physical capacity must reflect closures and inaccessible stalls.</x:v>
      </x:c>
      <x:c r="H30" s="2"/>
      <x:c r="I30" s="2"/>
      <x:c r="J30" s="2"/>
    </x:row>
    <x:row r="31" ht="21" customHeight="1">
      <x:c r="A31" s="2"/>
      <x:c r="B31" s="2"/>
      <x:c r="C31" s="31" t="str">
        <x:v>Annual note rate</x:v>
      </x:c>
      <x:c r="D31" s="32" t="n">
        <x:f>IF($D$5=1,IF(ISNUMBER(D32),IF(AND(D32&gt;=0,D32&lt;=1),D32,"n.a."),"n.a."),IF($D$5=2,IF(ISNUMBER(D33),IF(AND(D33&gt;=0,D33&lt;=1),D33,"n.a."),"n.a."),"n.a."))</x:f>
        <x:v>0.065</x:v>
      </x:c>
      <x:c r="E31" s="33" t="str">
        <x:v>%</x:v>
      </x:c>
      <x:c r="F31" s="2"/>
      <x:c r="G31" s="2"/>
      <x:c r="H31" s="2"/>
      <x:c r="I31" s="2"/>
      <x:c r="J31" s="2"/>
    </x:row>
    <x:row r="32" ht="75" customHeight="1">
      <x:c r="A32" s="2"/>
      <x:c r="B32" s="2"/>
      <x:c r="C32" s="34" t="str">
        <x:v>Base</x:v>
      </x:c>
      <x:c r="D32" s="35" t="n">
        <x:v>0.065</x:v>
      </x:c>
      <x:c r="E32" s="36"/>
      <x:c r="F32" s="2"/>
      <x:c r="G32" s="42" t="str">
        <x:v>Transient receipts use separate spaces times visits per space per open day times operating days times paying utilization. Visits are a turnover assumption, not occupancy. Operating days cannot exceed the selected calendar month.</x:v>
      </x:c>
      <x:c r="H32" s="2"/>
      <x:c r="I32" s="2"/>
      <x:c r="J32" s="2"/>
    </x:row>
    <x:row r="33" ht="21" customHeight="1">
      <x:c r="A33" s="2"/>
      <x:c r="B33" s="2"/>
      <x:c r="C33" s="34" t="str">
        <x:v>Downside</x:v>
      </x:c>
      <x:c r="D33" s="35" t="n">
        <x:v>0.08</x:v>
      </x:c>
      <x:c r="E33" s="36"/>
      <x:c r="F33" s="2"/>
      <x:c r="G33" s="2"/>
      <x:c r="H33" s="2"/>
      <x:c r="I33" s="2"/>
      <x:c r="J33" s="2"/>
    </x:row>
    <x:row r="34" ht="75" customHeight="1">
      <x:c r="A34" s="2"/>
      <x:c r="B34" s="2"/>
      <x:c r="C34" s="24" t="str">
        <x:v>Amortization after IO (years)</x:v>
      </x:c>
      <x:c r="D34" s="37" t="n">
        <x:f>IF($D$5=1,IF(ISNUMBER(D35),IF(AND(D35&gt;=1,D35&lt;=50,D35=INT(D35)),D35,"n.a."),"n.a."),IF($D$5=2,IF(ISNUMBER(D36),IF(AND(D36&gt;=1,D36&lt;=50,D36=INT(D36)),D36,"n.a."),"n.a."),"n.a."))</x:f>
        <x:v>25</x:v>
      </x:c>
      <x:c r="E34" s="22" t="str">
        <x:v>years</x:v>
      </x:c>
      <x:c r="F34" s="2"/>
      <x:c r="G34" s="42" t="str">
        <x:v>Scope is direct facility operating cash after an entered operator management fee. It is not rent under a third-party operating lease. Permit and transient receipts should be net of taxes held for remittance, with taxes and pass-throughs reconciled separately.</x:v>
      </x:c>
      <x:c r="H34" s="2"/>
      <x:c r="I34" s="2"/>
      <x:c r="J34" s="2"/>
    </x:row>
    <x:row r="35" ht="21" customHeight="1">
      <x:c r="A35" s="2"/>
      <x:c r="B35" s="2"/>
      <x:c r="C35" s="28" t="str">
        <x:v>Base</x:v>
      </x:c>
      <x:c r="D35" s="16" t="n">
        <x:v>25</x:v>
      </x:c>
      <x:c r="E35" s="2"/>
      <x:c r="F35" s="2"/>
      <x:c r="G35" s="2"/>
      <x:c r="H35" s="2"/>
      <x:c r="I35" s="2"/>
      <x:c r="J35" s="2"/>
    </x:row>
    <x:row r="36" ht="75" customHeight="1">
      <x:c r="A36" s="2"/>
      <x:c r="B36" s="2"/>
      <x:c r="C36" s="28" t="str">
        <x:v>Downside</x:v>
      </x:c>
      <x:c r="D36" s="16" t="n">
        <x:v>25</x:v>
      </x:c>
      <x:c r="E36" s="2"/>
      <x:c r="F36" s="2"/>
      <x:c r="G36" s="42" t="str">
        <x:v>Servicing costs and the operator fee must cover distinct obligations; do not add payroll already included in a full-service fee. Fixed expenses and structural capital remain separately funded. Access rights, concessions, accessibility and inspection obligations require property-specific evidence.</x:v>
      </x:c>
      <x:c r="H36" s="2"/>
      <x:c r="I36" s="2"/>
      <x:c r="J36" s="2"/>
    </x:row>
    <x:row r="37" ht="21" customHeight="1">
      <x:c r="A37" s="2"/>
      <x:c r="B37" s="2"/>
      <x:c r="C37" s="24" t="str">
        <x:v>Initial interest-only months</x:v>
      </x:c>
      <x:c r="D37" s="37" t="n">
        <x:f>IF($D$5=1,IF(ISNUMBER(D38),IF(AND(D38&gt;=0,D38&lt;=12,D38=INT(D38)),D38,"n.a."),"n.a."),IF($D$5=2,IF(ISNUMBER(D39),IF(AND(D39&gt;=0,D39&lt;=12,D39=INT(D39)),D39,"n.a."),"n.a."),"n.a."))</x:f>
        <x:v>6</x:v>
      </x:c>
      <x:c r="E37" s="22" t="str">
        <x:v>months</x:v>
      </x:c>
      <x:c r="F37" s="2"/>
      <x:c r="G37" s="2"/>
      <x:c r="H37" s="2"/>
      <x:c r="I37" s="2"/>
      <x:c r="J37" s="2"/>
    </x:row>
    <x:row r="38" ht="21" customHeight="1">
      <x:c r="A38" s="2"/>
      <x:c r="B38" s="2"/>
      <x:c r="C38" s="28" t="str">
        <x:v>Base</x:v>
      </x:c>
      <x:c r="D38" s="16" t="n">
        <x:v>6</x:v>
      </x:c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8" t="str">
        <x:v>Downside</x:v>
      </x:c>
      <x:c r="D39" s="16" t="n">
        <x:v>6</x:v>
      </x:c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4" t="str">
        <x:v>Loan term (months)</x:v>
      </x:c>
      <x:c r="D40" s="37" t="n">
        <x:f>IF($D$5=1,IF(ISNUMBER(D41),IF(AND(D41&gt;=12,D41&lt;=600,D41=INT(D41)),D41,"n.a."),"n.a."),IF($D$5=2,IF(ISNUMBER(D42),IF(AND(D42&gt;=12,D42&lt;=600,D42=INT(D42)),D42,"n.a."),"n.a."),"n.a."))</x:f>
        <x:v>60</x:v>
      </x:c>
      <x:c r="E40" s="22" t="str">
        <x:v>months</x:v>
      </x:c>
      <x:c r="F40" s="2"/>
      <x:c r="G40" s="2"/>
      <x:c r="H40" s="2"/>
      <x:c r="I40" s="2"/>
      <x:c r="J40" s="2"/>
    </x:row>
    <x:row r="41" ht="21" customHeight="1">
      <x:c r="A41" s="2"/>
      <x:c r="B41" s="2"/>
      <x:c r="C41" s="28" t="str">
        <x:v>Base</x:v>
      </x:c>
      <x:c r="D41" s="16" t="n">
        <x:v>60</x:v>
      </x:c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8" t="str">
        <x:v>Downside</x:v>
      </x:c>
      <x:c r="D42" s="16" t="n">
        <x:v>60</x:v>
      </x:c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31" t="str">
        <x:v>Maximum LTV</x:v>
      </x:c>
      <x:c r="D43" s="32" t="n">
        <x:f>IF($D$5=1,IF(ISNUMBER(D44),IF(AND(D44&gt;=0,D44&lt;=1),D44,"n.a."),"n.a."),IF($D$5=2,IF(ISNUMBER(D45),IF(AND(D45&gt;=0,D45&lt;=1),D45,"n.a."),"n.a."),"n.a."))</x:f>
        <x:v>0.65</x:v>
      </x:c>
      <x:c r="E43" s="33" t="str">
        <x:v>%</x:v>
      </x:c>
      <x:c r="F43" s="2"/>
      <x:c r="G43" s="2"/>
      <x:c r="H43" s="2"/>
      <x:c r="I43" s="2"/>
      <x:c r="J43" s="2"/>
    </x:row>
    <x:row r="44" ht="21" customHeight="1">
      <x:c r="A44" s="2"/>
      <x:c r="B44" s="2"/>
      <x:c r="C44" s="34" t="str">
        <x:v>Base</x:v>
      </x:c>
      <x:c r="D44" s="35" t="n">
        <x:v>0.65</x:v>
      </x:c>
      <x:c r="E44" s="36"/>
      <x:c r="F44" s="2"/>
      <x:c r="G44" s="2"/>
      <x:c r="H44" s="2"/>
      <x:c r="I44" s="2"/>
      <x:c r="J44" s="2"/>
    </x:row>
    <x:row r="45" ht="21" customHeight="1">
      <x:c r="A45" s="2"/>
      <x:c r="B45" s="2"/>
      <x:c r="C45" s="34" t="str">
        <x:v>Downside</x:v>
      </x:c>
      <x:c r="D45" s="35" t="n">
        <x:v>0.6</x:v>
      </x:c>
      <x:c r="E45" s="36"/>
      <x:c r="F45" s="2"/>
      <x:c r="G45" s="2"/>
      <x:c r="H45" s="2"/>
      <x:c r="I45" s="2"/>
      <x:c r="J45" s="2"/>
    </x:row>
    <x:row r="46" ht="21" customHeight="1">
      <x:c r="A46" s="2"/>
      <x:c r="B46" s="2"/>
      <x:c r="C46" s="31" t="str">
        <x:v>Minimum sizing DSCR</x:v>
      </x:c>
      <x:c r="D46" s="40" t="n">
        <x:f>IF($D$5=1,IF(ISNUMBER(D47),IF(AND(D47&gt;=0.01,D47&lt;=10),D47,"n.a."),"n.a."),IF($D$5=2,IF(ISNUMBER(D48),IF(AND(D48&gt;=0.01,D48&lt;=10),D48,"n.a."),"n.a."),"n.a."))</x:f>
        <x:v>1.25</x:v>
      </x:c>
      <x:c r="E46" s="33" t="str">
        <x:v>x</x:v>
      </x:c>
      <x:c r="F46" s="2"/>
      <x:c r="G46" s="2"/>
      <x:c r="H46" s="2"/>
      <x:c r="I46" s="2"/>
      <x:c r="J46" s="2"/>
    </x:row>
    <x:row r="47" ht="21" customHeight="1">
      <x:c r="A47" s="2"/>
      <x:c r="B47" s="2"/>
      <x:c r="C47" s="34" t="str">
        <x:v>Base</x:v>
      </x:c>
      <x:c r="D47" s="41" t="n">
        <x:v>1.25</x:v>
      </x:c>
      <x:c r="E47" s="36"/>
      <x:c r="F47" s="2"/>
      <x:c r="G47" s="2"/>
      <x:c r="H47" s="2"/>
      <x:c r="I47" s="2"/>
      <x:c r="J47" s="2"/>
    </x:row>
    <x:row r="48" ht="21" customHeight="1">
      <x:c r="A48" s="2"/>
      <x:c r="B48" s="2"/>
      <x:c r="C48" s="34" t="str">
        <x:v>Downside</x:v>
      </x:c>
      <x:c r="D48" s="41" t="n">
        <x:v>1.3</x:v>
      </x:c>
      <x:c r="E48" s="36"/>
      <x:c r="F48" s="2"/>
      <x:c r="G48" s="2"/>
      <x:c r="H48" s="2"/>
      <x:c r="I48" s="2"/>
      <x:c r="J48" s="2"/>
    </x:row>
    <x:row r="49" ht="21" customHeight="1">
      <x:c r="A49" s="2"/>
      <x:c r="B49" s="2"/>
      <x:c r="C49" s="31" t="str">
        <x:v>Minimum debt yield</x:v>
      </x:c>
      <x:c r="D49" s="32" t="n">
        <x:f>IF($D$5=1,IF(ISNUMBER(D50),IF(AND(D50&gt;=0.0001,D50&lt;=1),D50,"n.a."),"n.a."),IF($D$5=2,IF(ISNUMBER(D51),IF(AND(D51&gt;=0.0001,D51&lt;=1),D51,"n.a."),"n.a."),"n.a."))</x:f>
        <x:v>0.09</x:v>
      </x:c>
      <x:c r="E49" s="33" t="str">
        <x:v>%</x:v>
      </x:c>
      <x:c r="F49" s="2"/>
      <x:c r="G49" s="2"/>
      <x:c r="H49" s="2"/>
      <x:c r="I49" s="2"/>
      <x:c r="J49" s="2"/>
    </x:row>
    <x:row r="50" ht="21" customHeight="1">
      <x:c r="A50" s="2"/>
      <x:c r="B50" s="2"/>
      <x:c r="C50" s="34" t="str">
        <x:v>Base</x:v>
      </x:c>
      <x:c r="D50" s="35" t="n">
        <x:v>0.09</x:v>
      </x:c>
      <x:c r="E50" s="36"/>
      <x:c r="F50" s="2"/>
      <x:c r="G50" s="2"/>
      <x:c r="H50" s="2"/>
      <x:c r="I50" s="2"/>
      <x:c r="J50" s="2"/>
    </x:row>
    <x:row r="51" ht="21" customHeight="1">
      <x:c r="A51" s="2"/>
      <x:c r="B51" s="2"/>
      <x:c r="C51" s="34" t="str">
        <x:v>Downside</x:v>
      </x:c>
      <x:c r="D51" s="35" t="n">
        <x:v>0.1</x:v>
      </x:c>
      <x:c r="E51" s="36"/>
      <x:c r="F51" s="2"/>
      <x:c r="G51" s="2"/>
      <x:c r="H51" s="2"/>
      <x:c r="I51" s="2"/>
      <x:c r="J51" s="2"/>
    </x:row>
    <x:row r="52" ht="21" customHeight="1">
      <x:c r="A52" s="2"/>
      <x:c r="B52" s="2"/>
      <x:c r="C52" s="24" t="str">
        <x:v>Annual lender NCF adjustment</x:v>
      </x:c>
      <x:c r="D52" s="26" t="n">
        <x:f>IF($D$5=1,IF(ISNUMBER(D53),IF(AND(D53&gt;=-1000000000000,D53&lt;=1000000000000),D53,"n.a."),"n.a."),IF($D$5=2,IF(ISNUMBER(D54),IF(AND(D54&gt;=-1000000000000,D54&lt;=1000000000000),D54,"n.a."),"n.a."),"n.a."))</x:f>
        <x:v>0</x:v>
      </x:c>
      <x:c r="E52" s="22" t="str">
        <x:v>USD</x:v>
      </x:c>
      <x:c r="F52" s="2"/>
      <x:c r="G52" s="2"/>
      <x:c r="H52" s="2"/>
      <x:c r="I52" s="2"/>
      <x:c r="J52" s="2"/>
    </x:row>
    <x:row r="53" ht="21" customHeight="1">
      <x:c r="A53" s="2"/>
      <x:c r="B53" s="2"/>
      <x:c r="C53" s="28" t="str">
        <x:v>Base</x:v>
      </x:c>
      <x:c r="D53" s="27" t="n">
        <x:v>0</x:v>
      </x:c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8" t="str">
        <x:v>Downside</x:v>
      </x:c>
      <x:c r="D54" s="27" t="n">
        <x:v>-25000</x:v>
      </x:c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4" t="str">
        <x:v>Annual fixed operating costs</x:v>
      </x:c>
      <x:c r="D55" s="26" t="n">
        <x:f>IF($D$5=1,IF(ISNUMBER(D56),IF(AND(D56&gt;=0,D56&lt;=1000000000000),D56,"n.a."),"n.a."),IF($D$5=2,IF(ISNUMBER(D57),IF(AND(D57&gt;=0,D57&lt;=1000000000000),D57,"n.a."),"n.a."),"n.a."))</x:f>
        <x:v>210000</x:v>
      </x:c>
      <x:c r="E55" s="22" t="str">
        <x:v>USD</x:v>
      </x:c>
      <x:c r="F55" s="2"/>
      <x:c r="G55" s="2"/>
      <x:c r="H55" s="2"/>
      <x:c r="I55" s="2"/>
      <x:c r="J55" s="2"/>
    </x:row>
    <x:row r="56" ht="21" customHeight="1">
      <x:c r="A56" s="2"/>
      <x:c r="B56" s="2"/>
      <x:c r="C56" s="28" t="str">
        <x:v>Base</x:v>
      </x:c>
      <x:c r="D56" s="27" t="n">
        <x:v>210000</x:v>
      </x:c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8" t="str">
        <x:v>Downside</x:v>
      </x:c>
      <x:c r="D57" s="27" t="n">
        <x:v>235000</x:v>
      </x:c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31" t="str">
        <x:v>Replacement reserve / revenue</x:v>
      </x:c>
      <x:c r="D58" s="32" t="n">
        <x:f>IF($D$5=1,IF(ISNUMBER(D59),IF(AND(D59&gt;=0,D59&lt;=1),D59,"n.a."),"n.a."),IF($D$5=2,IF(ISNUMBER(D60),IF(AND(D60&gt;=0,D60&lt;=1),D60,"n.a."),"n.a."),"n.a."))</x:f>
        <x:v>0.03</x:v>
      </x:c>
      <x:c r="E58" s="33" t="str">
        <x:v>%</x:v>
      </x:c>
      <x:c r="F58" s="2"/>
      <x:c r="G58" s="2"/>
      <x:c r="H58" s="2"/>
      <x:c r="I58" s="2"/>
      <x:c r="J58" s="2"/>
    </x:row>
    <x:row r="59" ht="21" customHeight="1">
      <x:c r="A59" s="2"/>
      <x:c r="B59" s="2"/>
      <x:c r="C59" s="34" t="str">
        <x:v>Base</x:v>
      </x:c>
      <x:c r="D59" s="35" t="n">
        <x:v>0.03</x:v>
      </x:c>
      <x:c r="E59" s="36"/>
      <x:c r="F59" s="2"/>
      <x:c r="G59" s="2"/>
      <x:c r="H59" s="2"/>
      <x:c r="I59" s="2"/>
      <x:c r="J59" s="2"/>
    </x:row>
    <x:row r="60" ht="21" customHeight="1">
      <x:c r="A60" s="2"/>
      <x:c r="B60" s="2"/>
      <x:c r="C60" s="34" t="str">
        <x:v>Downside</x:v>
      </x:c>
      <x:c r="D60" s="35" t="n">
        <x:v>0.04</x:v>
      </x:c>
      <x:c r="E60" s="36"/>
      <x:c r="F60" s="2"/>
      <x:c r="G60" s="2"/>
      <x:c r="H60" s="2"/>
      <x:c r="I60" s="2"/>
      <x:c r="J60" s="2"/>
    </x:row>
    <x:row r="61" ht="21" customHeight="1">
      <x:c r="A61" s="2"/>
      <x:c r="B61" s="2"/>
      <x:c r="C61" s="31" t="str">
        <x:v>Activity multiplier</x:v>
      </x:c>
      <x:c r="D61" s="40" t="n">
        <x:f>IF($D$5=1,IF(ISNUMBER(D62),IF(AND(D62&gt;=0,D62&lt;=2),D62,"n.a."),"n.a."),IF($D$5=2,IF(ISNUMBER(D63),IF(AND(D63&gt;=0,D63&lt;=2),D63,"n.a."),"n.a."),"n.a."))</x:f>
        <x:v>1</x:v>
      </x:c>
      <x:c r="E61" s="33" t="str">
        <x:v>x</x:v>
      </x:c>
      <x:c r="F61" s="2"/>
      <x:c r="G61" s="2"/>
      <x:c r="H61" s="2"/>
      <x:c r="I61" s="2"/>
      <x:c r="J61" s="2"/>
    </x:row>
    <x:row r="62" ht="21" customHeight="1">
      <x:c r="A62" s="2"/>
      <x:c r="B62" s="2"/>
      <x:c r="C62" s="34" t="str">
        <x:v>Base</x:v>
      </x:c>
      <x:c r="D62" s="41" t="n">
        <x:v>1</x:v>
      </x:c>
      <x:c r="E62" s="36"/>
      <x:c r="F62" s="2"/>
      <x:c r="G62" s="2"/>
      <x:c r="H62" s="2"/>
      <x:c r="I62" s="2"/>
      <x:c r="J62" s="2"/>
    </x:row>
    <x:row r="63" ht="21" customHeight="1">
      <x:c r="A63" s="2"/>
      <x:c r="B63" s="2"/>
      <x:c r="C63" s="34" t="str">
        <x:v>Downside</x:v>
      </x:c>
      <x:c r="D63" s="41" t="n">
        <x:v>0.9</x:v>
      </x:c>
      <x:c r="E63" s="36"/>
      <x:c r="F63" s="2"/>
      <x:c r="G63" s="2"/>
      <x:c r="H63" s="2"/>
      <x:c r="I63" s="2"/>
      <x:c r="J63" s="2"/>
    </x:row>
    <x:row r="64" ht="21" customHeight="1">
      <x:c r="A64" s="2"/>
      <x:c r="B64" s="2"/>
      <x:c r="C64" s="31" t="str">
        <x:v>Price / rent multiplier</x:v>
      </x:c>
      <x:c r="D64" s="40" t="n">
        <x:f>IF($D$5=1,IF(ISNUMBER(D65),IF(AND(D65&gt;=0,D65&lt;=2),D65,"n.a."),"n.a."),IF($D$5=2,IF(ISNUMBER(D66),IF(AND(D66&gt;=0,D66&lt;=2),D66,"n.a."),"n.a."),"n.a."))</x:f>
        <x:v>1</x:v>
      </x:c>
      <x:c r="E64" s="33" t="str">
        <x:v>x</x:v>
      </x:c>
      <x:c r="F64" s="2"/>
      <x:c r="G64" s="2"/>
      <x:c r="H64" s="2"/>
      <x:c r="I64" s="2"/>
      <x:c r="J64" s="2"/>
    </x:row>
    <x:row r="65" ht="21" customHeight="1">
      <x:c r="A65" s="2"/>
      <x:c r="B65" s="2"/>
      <x:c r="C65" s="34" t="str">
        <x:v>Base</x:v>
      </x:c>
      <x:c r="D65" s="41" t="n">
        <x:v>1</x:v>
      </x:c>
      <x:c r="E65" s="36"/>
      <x:c r="F65" s="2"/>
      <x:c r="G65" s="2"/>
      <x:c r="H65" s="2"/>
      <x:c r="I65" s="2"/>
      <x:c r="J65" s="2"/>
    </x:row>
    <x:row r="66" ht="21" customHeight="1">
      <x:c r="A66" s="2"/>
      <x:c r="B66" s="2"/>
      <x:c r="C66" s="34" t="str">
        <x:v>Downside</x:v>
      </x:c>
      <x:c r="D66" s="41" t="n">
        <x:v>0.95</x:v>
      </x:c>
      <x:c r="E66" s="36"/>
      <x:c r="F66" s="2"/>
      <x:c r="G66" s="2"/>
      <x:c r="H66" s="2"/>
      <x:c r="I66" s="2"/>
      <x:c r="J66" s="2"/>
    </x:row>
    <x:row r="67" ht="21" customHeight="1">
      <x:c r="A67" s="2"/>
      <x:c r="B67" s="2"/>
      <x:c r="C67" s="31" t="str">
        <x:v>Variable cost multiplier</x:v>
      </x:c>
      <x:c r="D67" s="40" t="n">
        <x:f>IF($D$5=1,IF(ISNUMBER(D68),IF(AND(D68&gt;=0,D68&lt;=3),D68,"n.a."),"n.a."),IF($D$5=2,IF(ISNUMBER(D69),IF(AND(D69&gt;=0,D69&lt;=3),D69,"n.a."),"n.a."),"n.a."))</x:f>
        <x:v>1</x:v>
      </x:c>
      <x:c r="E67" s="33" t="str">
        <x:v>x</x:v>
      </x:c>
      <x:c r="F67" s="2"/>
      <x:c r="G67" s="2"/>
      <x:c r="H67" s="2"/>
      <x:c r="I67" s="2"/>
      <x:c r="J67" s="2"/>
    </x:row>
    <x:row r="68" ht="21" customHeight="1">
      <x:c r="A68" s="2"/>
      <x:c r="B68" s="2"/>
      <x:c r="C68" s="34" t="str">
        <x:v>Base</x:v>
      </x:c>
      <x:c r="D68" s="41" t="n">
        <x:v>1</x:v>
      </x:c>
      <x:c r="E68" s="36"/>
      <x:c r="F68" s="2"/>
      <x:c r="G68" s="2"/>
      <x:c r="H68" s="2"/>
      <x:c r="I68" s="2"/>
      <x:c r="J68" s="2"/>
    </x:row>
    <x:row r="69" ht="21" customHeight="1">
      <x:c r="A69" s="2"/>
      <x:c r="B69" s="2"/>
      <x:c r="C69" s="34" t="str">
        <x:v>Downside</x:v>
      </x:c>
      <x:c r="D69" s="41" t="n">
        <x:v>1.1</x:v>
      </x:c>
      <x:c r="E69" s="36"/>
      <x:c r="F69" s="2"/>
      <x:c r="G69" s="2"/>
      <x:c r="H69" s="2"/>
      <x:c r="I69" s="2"/>
      <x:c r="J69" s="2"/>
    </x:row>
    <x:row r="70" ht="21" customHeight="1">
      <x:c r="A70" s="2"/>
      <x:c r="B70" s="2"/>
      <x:c r="C70" s="31" t="str">
        <x:v>Capital-work multiplier</x:v>
      </x:c>
      <x:c r="D70" s="40" t="n">
        <x:f>IF($D$5=1,IF(ISNUMBER(D71),IF(AND(D71&gt;=0,D71&lt;=3),D71,"n.a."),"n.a."),IF($D$5=2,IF(ISNUMBER(D72),IF(AND(D72&gt;=0,D72&lt;=3),D72,"n.a."),"n.a."),"n.a."))</x:f>
        <x:v>1</x:v>
      </x:c>
      <x:c r="E70" s="33" t="str">
        <x:v>x</x:v>
      </x:c>
      <x:c r="F70" s="2"/>
      <x:c r="G70" s="2"/>
      <x:c r="H70" s="2"/>
      <x:c r="I70" s="2"/>
      <x:c r="J70" s="2"/>
    </x:row>
    <x:row r="71" ht="21" customHeight="1">
      <x:c r="A71" s="2"/>
      <x:c r="B71" s="2"/>
      <x:c r="C71" s="34" t="str">
        <x:v>Base</x:v>
      </x:c>
      <x:c r="D71" s="41" t="n">
        <x:v>1</x:v>
      </x:c>
      <x:c r="E71" s="36"/>
      <x:c r="F71" s="2"/>
      <x:c r="G71" s="2"/>
      <x:c r="H71" s="2"/>
      <x:c r="I71" s="2"/>
      <x:c r="J71" s="2"/>
    </x:row>
    <x:row r="72" ht="21" customHeight="1">
      <x:c r="A72" s="2"/>
      <x:c r="B72" s="2"/>
      <x:c r="C72" s="34" t="str">
        <x:v>Downside</x:v>
      </x:c>
      <x:c r="D72" s="41" t="n">
        <x:v>1.2</x:v>
      </x:c>
      <x:c r="E72" s="36"/>
      <x:c r="F72" s="2"/>
      <x:c r="G72" s="2"/>
      <x:c r="H72" s="2"/>
      <x:c r="I72" s="2"/>
      <x:c r="J72" s="2"/>
    </x:row>
    <x:row r="73" ht="21" customHeight="1">
      <x:c r="A73" s="2"/>
      <x:c r="B73" s="2"/>
      <x:c r="C73" s="24" t="str">
        <x:v>Additional service cost / transient visit</x:v>
      </x:c>
      <x:c r="D73" s="26" t="n">
        <x:f>IF($D$5=1,IF(ISNUMBER(D74),IF(AND(D74&gt;=0,D74&lt;=1000000000000),D74,"n.a."),"n.a."),IF($D$5=2,IF(ISNUMBER(D75),IF(AND(D75&gt;=0,D75&lt;=1000000000000),D75,"n.a."),"n.a."),"n.a."))</x:f>
        <x:v>0.4</x:v>
      </x:c>
      <x:c r="E73" s="22" t="str">
        <x:v>USD</x:v>
      </x:c>
      <x:c r="F73" s="2"/>
      <x:c r="G73" s="2"/>
      <x:c r="H73" s="2"/>
      <x:c r="I73" s="2"/>
      <x:c r="J73" s="2"/>
    </x:row>
    <x:row r="74" ht="21" customHeight="1">
      <x:c r="A74" s="2"/>
      <x:c r="B74" s="2"/>
      <x:c r="C74" s="28" t="str">
        <x:v>Base</x:v>
      </x:c>
      <x:c r="D74" s="27" t="n">
        <x:v>0.4</x:v>
      </x:c>
      <x:c r="E74" s="2"/>
      <x:c r="F74" s="2"/>
      <x:c r="G74" s="2"/>
      <x:c r="H74" s="2"/>
      <x:c r="I74" s="2"/>
      <x:c r="J74" s="2"/>
    </x:row>
    <x:row r="75" ht="21" customHeight="1">
      <x:c r="A75" s="2"/>
      <x:c r="B75" s="2"/>
      <x:c r="C75" s="28" t="str">
        <x:v>Downside</x:v>
      </x:c>
      <x:c r="D75" s="27" t="n">
        <x:v>0.4</x:v>
      </x:c>
      <x:c r="E75" s="2"/>
      <x:c r="F75" s="2"/>
      <x:c r="G75" s="2"/>
      <x:c r="H75" s="2"/>
      <x:c r="I75" s="2"/>
      <x:c r="J75" s="2"/>
    </x:row>
    <x:row r="76" ht="21" customHeight="1">
      <x:c r="A76" s="2"/>
      <x:c r="B76" s="2"/>
      <x:c r="C76" s="24" t="str">
        <x:v>Monthly service cost / paying permit</x:v>
      </x:c>
      <x:c r="D76" s="26" t="n">
        <x:f>IF($D$5=1,IF(ISNUMBER(D77),IF(AND(D77&gt;=0,D77&lt;=1000000000000),D77,"n.a."),"n.a."),IF($D$5=2,IF(ISNUMBER(D78),IF(AND(D78&gt;=0,D78&lt;=1000000000000),D78,"n.a."),"n.a."),"n.a."))</x:f>
        <x:v>3</x:v>
      </x:c>
      <x:c r="E76" s="22" t="str">
        <x:v>USD</x:v>
      </x:c>
      <x:c r="F76" s="2"/>
      <x:c r="G76" s="2"/>
      <x:c r="H76" s="2"/>
      <x:c r="I76" s="2"/>
      <x:c r="J76" s="2"/>
    </x:row>
    <x:row r="77" ht="21" customHeight="1">
      <x:c r="A77" s="2"/>
      <x:c r="B77" s="2"/>
      <x:c r="C77" s="28" t="str">
        <x:v>Base</x:v>
      </x:c>
      <x:c r="D77" s="27" t="n">
        <x:v>3</x:v>
      </x:c>
      <x:c r="E77" s="2"/>
      <x:c r="F77" s="2"/>
      <x:c r="G77" s="2"/>
      <x:c r="H77" s="2"/>
      <x:c r="I77" s="2"/>
      <x:c r="J77" s="2"/>
    </x:row>
    <x:row r="78" ht="21" customHeight="1">
      <x:c r="A78" s="2"/>
      <x:c r="B78" s="2"/>
      <x:c r="C78" s="28" t="str">
        <x:v>Downside</x:v>
      </x:c>
      <x:c r="D78" s="27" t="n">
        <x:v>3</x:v>
      </x:c>
      <x:c r="E78" s="2"/>
      <x:c r="F78" s="2"/>
      <x:c r="G78" s="2"/>
      <x:c r="H78" s="2"/>
      <x:c r="I78" s="2"/>
      <x:c r="J78" s="2"/>
    </x:row>
    <x:row r="79" ht="21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</x:row>
    <x:row r="80" ht="21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</x:row>
    <x:row r="81" ht="21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</x:row>
    <x:row r="82" ht="21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</x:row>
    <x:row r="83" ht="21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</x:row>
    <x:row r="84" ht="21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</x:row>
  </x:sheetData>
  <x:dataValidations count="48">
    <x:dataValidation type="list" sqref="D5">
      <x:formula1>"1,2"</x:formula1>
    </x:dataValidation>
    <x:dataValidation type="decimal" operator="between" sqref="D7">
      <x:formula1>2000</x:formula1>
      <x:formula2>2100</x:formula2>
    </x:dataValidation>
    <x:dataValidation type="decimal" operator="between" sqref="D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D23">
      <x:formula1>0</x:formula1>
      <x:formula2>1000000000000</x:formula2>
    </x:dataValidation>
    <x:dataValidation type="decimal" operator="between" sqref="D24">
      <x:formula1>0</x:formula1>
      <x:formula2>1000000000000</x:formula2>
    </x:dataValidation>
    <x:dataValidation type="decimal" operator="between" sqref="D26">
      <x:formula1>0</x:formula1>
      <x:formula2>1000000000000</x:formula2>
    </x:dataValidation>
    <x:dataValidation type="decimal" operator="between" sqref="D27">
      <x:formula1>0</x:formula1>
      <x:formula2>1000000000000</x:formula2>
    </x:dataValidation>
    <x:dataValidation type="decimal" operator="between" sqref="D29">
      <x:formula1>0</x:formula1>
      <x:formula2>1000000000000</x:formula2>
    </x:dataValidation>
    <x:dataValidation type="decimal" operator="between" sqref="D30">
      <x:formula1>0</x:formula1>
      <x:formula2>1000000000000</x:formula2>
    </x:dataValidation>
    <x:dataValidation type="decimal" operator="between" sqref="D32">
      <x:formula1>0</x:formula1>
      <x:formula2>1</x:formula2>
    </x:dataValidation>
    <x:dataValidation type="decimal" operator="between" sqref="D33">
      <x:formula1>0</x:formula1>
      <x:formula2>1</x:formula2>
    </x:dataValidation>
    <x:dataValidation type="decimal" operator="between" sqref="D35">
      <x:formula1>1</x:formula1>
      <x:formula2>50</x:formula2>
    </x:dataValidation>
    <x:dataValidation type="decimal" operator="between" sqref="D36">
      <x:formula1>1</x:formula1>
      <x:formula2>50</x:formula2>
    </x:dataValidation>
    <x:dataValidation type="decimal" operator="between" sqref="D38">
      <x:formula1>0</x:formula1>
      <x:formula2>12</x:formula2>
    </x:dataValidation>
    <x:dataValidation type="decimal" operator="between" sqref="D39">
      <x:formula1>0</x:formula1>
      <x:formula2>12</x:formula2>
    </x:dataValidation>
    <x:dataValidation type="decimal" operator="between" sqref="D41">
      <x:formula1>12</x:formula1>
      <x:formula2>600</x:formula2>
    </x:dataValidation>
    <x:dataValidation type="decimal" operator="between" sqref="D42">
      <x:formula1>12</x:formula1>
      <x:formula2>600</x:formula2>
    </x:dataValidation>
    <x:dataValidation type="decimal" operator="between" sqref="D44">
      <x:formula1>0</x:formula1>
      <x:formula2>1</x:formula2>
    </x:dataValidation>
    <x:dataValidation type="decimal" operator="between" sqref="D45">
      <x:formula1>0</x:formula1>
      <x:formula2>1</x:formula2>
    </x:dataValidation>
    <x:dataValidation type="decimal" operator="between" sqref="D47">
      <x:formula1>0.01</x:formula1>
      <x:formula2>10</x:formula2>
    </x:dataValidation>
    <x:dataValidation type="decimal" operator="between" sqref="D48">
      <x:formula1>0.01</x:formula1>
      <x:formula2>10</x:formula2>
    </x:dataValidation>
    <x:dataValidation type="decimal" operator="between" sqref="D50">
      <x:formula1>0.0001</x:formula1>
      <x:formula2>1</x:formula2>
    </x:dataValidation>
    <x:dataValidation type="decimal" operator="between" sqref="D51">
      <x:formula1>0.0001</x:formula1>
      <x:formula2>1</x:formula2>
    </x:dataValidation>
    <x:dataValidation type="decimal" operator="between" sqref="D53">
      <x:formula1>-1000000000000</x:formula1>
      <x:formula2>1000000000000</x:formula2>
    </x:dataValidation>
    <x:dataValidation type="decimal" operator="between" sqref="D54">
      <x:formula1>-1000000000000</x:formula1>
      <x:formula2>1000000000000</x:formula2>
    </x:dataValidation>
    <x:dataValidation type="decimal" operator="between" sqref="D56">
      <x:formula1>0</x:formula1>
      <x:formula2>1000000000000</x:formula2>
    </x:dataValidation>
    <x:dataValidation type="decimal" operator="between" sqref="D57">
      <x:formula1>0</x:formula1>
      <x:formula2>1000000000000</x:formula2>
    </x:dataValidation>
    <x:dataValidation type="decimal" operator="between" sqref="D59">
      <x:formula1>0</x:formula1>
      <x:formula2>1</x:formula2>
    </x:dataValidation>
    <x:dataValidation type="decimal" operator="between" sqref="D60">
      <x:formula1>0</x:formula1>
      <x:formula2>1</x:formula2>
    </x:dataValidation>
    <x:dataValidation type="decimal" operator="between" sqref="D62">
      <x:formula1>0</x:formula1>
      <x:formula2>2</x:formula2>
    </x:dataValidation>
    <x:dataValidation type="decimal" operator="between" sqref="D63">
      <x:formula1>0</x:formula1>
      <x:formula2>2</x:formula2>
    </x:dataValidation>
    <x:dataValidation type="decimal" operator="between" sqref="D65">
      <x:formula1>0</x:formula1>
      <x:formula2>2</x:formula2>
    </x:dataValidation>
    <x:dataValidation type="decimal" operator="between" sqref="D66">
      <x:formula1>0</x:formula1>
      <x:formula2>2</x:formula2>
    </x:dataValidation>
    <x:dataValidation type="decimal" operator="between" sqref="D68">
      <x:formula1>0</x:formula1>
      <x:formula2>3</x:formula2>
    </x:dataValidation>
    <x:dataValidation type="decimal" operator="between" sqref="D69">
      <x:formula1>0</x:formula1>
      <x:formula2>3</x:formula2>
    </x:dataValidation>
    <x:dataValidation type="decimal" operator="between" sqref="D71">
      <x:formula1>0</x:formula1>
      <x:formula2>3</x:formula2>
    </x:dataValidation>
    <x:dataValidation type="decimal" operator="between" sqref="D72">
      <x:formula1>0</x:formula1>
      <x:formula2>3</x:formula2>
    </x:dataValidation>
    <x:dataValidation type="decimal" operator="between" sqref="D74">
      <x:formula1>0</x:formula1>
      <x:formula2>1000000000000</x:formula2>
    </x:dataValidation>
    <x:dataValidation type="decimal" operator="between" sqref="D75">
      <x:formula1>0</x:formula1>
      <x:formula2>1000000000000</x:formula2>
    </x:dataValidation>
    <x:dataValidation type="decimal" operator="between" sqref="D77">
      <x:formula1>0</x:formula1>
      <x:formula2>1000000000000</x:formula2>
    </x:dataValidation>
    <x:dataValidation type="decimal" operator="between" sqref="D78">
      <x:formula1>0</x:formula1>
      <x:formula2>1000000000000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16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13" max="13" width="17" hidden="0" customWidth="1"/>
    <x:col min="14" max="14" width="28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</x:row>
    <x:row r="2" ht="21" customHeight="1">
      <x:c r="A2" s="2"/>
      <x:c r="B2" s="2"/>
      <x:c r="C2" s="3" t="str">
        <x:v>Permits and Transient Parking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</x:row>
    <x:row r="7" ht="21" customHeight="1">
      <x:c r="A7" s="2"/>
      <x:c r="B7" s="2"/>
      <x:c r="C7" s="2" t="str">
        <x:v>All entries below are illustrative inputs. Replace with verified property records.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</x:row>
    <x:row r="9" ht="30" customHeight="1">
      <x:c r="A9" s="2"/>
      <x:c r="B9" s="2"/>
      <x:c r="C9" s="21" t="str">
        <x:v>Month</x:v>
      </x:c>
      <x:c r="D9" s="21" t="str">
        <x:v>Physical spaces available</x:v>
      </x:c>
      <x:c r="E9" s="21" t="str">
        <x:v>Spaces reserved exclusively for permits</x:v>
      </x:c>
      <x:c r="F9" s="21" t="str">
        <x:v>Permit paying fraction</x:v>
      </x:c>
      <x:c r="G9" s="21" t="str">
        <x:v>Monthly permit price</x:v>
      </x:c>
      <x:c r="H9" s="21" t="str">
        <x:v>Transient visits / space / open day</x:v>
      </x:c>
      <x:c r="I9" s="21" t="str">
        <x:v>Average transient receipt / visit</x:v>
      </x:c>
      <x:c r="J9" s="21" t="str">
        <x:v>Transient paying utilization</x:v>
      </x:c>
      <x:c r="K9" s="21" t="str">
        <x:v>Transient operating days</x:v>
      </x:c>
      <x:c r="L9" s="21" t="str">
        <x:v>Operator fee / gross receipts</x:v>
      </x:c>
      <x:c r="M9" s="21" t="str">
        <x:v>Structure, surface and equipment capital</x:v>
      </x:c>
      <x:c r="N9" s="21" t="str">
        <x:v>Input status</x:v>
      </x:c>
      <x:c r="O9" s="2"/>
      <x:c r="P9" s="2"/>
    </x:row>
    <x:row r="10" ht="21" customHeight="1">
      <x:c r="A10" s="2"/>
      <x:c r="B10" s="2"/>
      <x:c r="C10" s="43" t="n">
        <x:f>IF(ISNUMBER('Assumptions'!D7),IF(AND('Assumptions'!D7=INT('Assumptions'!D7),'Assumptions'!D7&gt;=2000,'Assumptions'!D7&lt;=2100),DATE('Assumptions'!D7,1,1),"n.a."),"n.a.")</x:f>
        <x:v>46388</x:v>
      </x:c>
      <x:c r="D10" s="16" t="n">
        <x:v>300</x:v>
      </x:c>
      <x:c r="E10" s="16" t="n">
        <x:v>130</x:v>
      </x:c>
      <x:c r="F10" s="30" t="n">
        <x:v>0.94</x:v>
      </x:c>
      <x:c r="G10" s="27" t="n">
        <x:v>185</x:v>
      </x:c>
      <x:c r="H10" s="16" t="n">
        <x:v>1.8</x:v>
      </x:c>
      <x:c r="I10" s="27" t="n">
        <x:v>11.5</x:v>
      </x:c>
      <x:c r="J10" s="30" t="n">
        <x:v>0.6</x:v>
      </x:c>
      <x:c r="K10" s="16" t="n">
        <x:v>31</x:v>
      </x:c>
      <x:c r="L10" s="30" t="n">
        <x:v>0.12</x:v>
      </x:c>
      <x:c r="M10" s="27" t="n">
        <x:v>2500</x:v>
      </x:c>
      <x:c r="N10" s="13" t="str">
        <x:f>IF(AND(IF(ISNUMBER(D10),AND(D10&gt;=0,D10&lt;=1000000000000),FALSE),IF(ISNUMBER(E10),AND(E10&gt;=0,E10&lt;=1000000000000),FALSE),IF(ISNUMBER(F10),AND(F10&gt;=0,F10&lt;=1),FALSE),IF(ISNUMBER(G10),AND(G10&gt;=0,G10&lt;=1000000000000),FALSE),IF(ISNUMBER(H10),AND(H10&gt;=0,H10&lt;=30),FALSE),IF(ISNUMBER(I10),AND(I10&gt;=0,I10&lt;=1000000000000),FALSE),IF(ISNUMBER(J10),AND(J10&gt;=0,J10&lt;=1),FALSE),IF(ISNUMBER(K10),AND(K10&gt;=0,K10&lt;=31,K10=INT(K10),IF(ISNUMBER(C10),K10&lt;=DAY(EOMONTH(C10,0)),FALSE)),FALSE),IF(ISNUMBER(L10),AND(L10&gt;=0,L10&lt;=1),FALSE),IF(ISNUMBER(M10),AND(M10&gt;=0,M10&lt;=1000000000000),FALSE)),"OK","Missing / invalid input")</x:f>
        <x:v>OK</x:v>
      </x:c>
      <x:c r="O10" s="2"/>
      <x:c r="P10" s="2"/>
    </x:row>
    <x:row r="11" ht="21" customHeight="1">
      <x:c r="A11" s="2"/>
      <x:c r="B11" s="2"/>
      <x:c r="C11" s="43" t="n">
        <x:f>IF(ISNUMBER('Assumptions'!D7),IF(AND('Assumptions'!D7=INT('Assumptions'!D7),'Assumptions'!D7&gt;=2000,'Assumptions'!D7&lt;=2100),DATE('Assumptions'!D7,2,1),"n.a."),"n.a.")</x:f>
        <x:v>46419</x:v>
      </x:c>
      <x:c r="D11" s="16" t="n">
        <x:v>300</x:v>
      </x:c>
      <x:c r="E11" s="16" t="n">
        <x:v>130</x:v>
      </x:c>
      <x:c r="F11" s="30" t="n">
        <x:v>0.94</x:v>
      </x:c>
      <x:c r="G11" s="27" t="n">
        <x:v>185</x:v>
      </x:c>
      <x:c r="H11" s="16" t="n">
        <x:v>1.8</x:v>
      </x:c>
      <x:c r="I11" s="27" t="n">
        <x:v>11.5</x:v>
      </x:c>
      <x:c r="J11" s="30" t="n">
        <x:v>0.72</x:v>
      </x:c>
      <x:c r="K11" s="16" t="n">
        <x:v>28</x:v>
      </x:c>
      <x:c r="L11" s="30" t="n">
        <x:v>0.12</x:v>
      </x:c>
      <x:c r="M11" s="27" t="n">
        <x:v>2500</x:v>
      </x:c>
      <x:c r="N11" s="13" t="str">
        <x:f>IF(AND(IF(ISNUMBER(D11),AND(D11&gt;=0,D11&lt;=1000000000000),FALSE),IF(ISNUMBER(E11),AND(E11&gt;=0,E11&lt;=1000000000000),FALSE),IF(ISNUMBER(F11),AND(F11&gt;=0,F11&lt;=1),FALSE),IF(ISNUMBER(G11),AND(G11&gt;=0,G11&lt;=1000000000000),FALSE),IF(ISNUMBER(H11),AND(H11&gt;=0,H11&lt;=30),FALSE),IF(ISNUMBER(I11),AND(I11&gt;=0,I11&lt;=1000000000000),FALSE),IF(ISNUMBER(J11),AND(J11&gt;=0,J11&lt;=1),FALSE),IF(ISNUMBER(K11),AND(K11&gt;=0,K11&lt;=31,K11=INT(K11),IF(ISNUMBER(C11),K11&lt;=DAY(EOMONTH(C11,0)),FALSE)),FALSE),IF(ISNUMBER(L11),AND(L11&gt;=0,L11&lt;=1),FALSE),IF(ISNUMBER(M11),AND(M11&gt;=0,M11&lt;=1000000000000),FALSE)),"OK","Missing / invalid input")</x:f>
        <x:v>OK</x:v>
      </x:c>
      <x:c r="O11" s="2"/>
      <x:c r="P11" s="2"/>
    </x:row>
    <x:row r="12" ht="21" customHeight="1">
      <x:c r="A12" s="2"/>
      <x:c r="B12" s="2"/>
      <x:c r="C12" s="43" t="n">
        <x:f>IF(ISNUMBER('Assumptions'!D7),IF(AND('Assumptions'!D7=INT('Assumptions'!D7),'Assumptions'!D7&gt;=2000,'Assumptions'!D7&lt;=2100),DATE('Assumptions'!D7,3,1),"n.a."),"n.a.")</x:f>
        <x:v>46447</x:v>
      </x:c>
      <x:c r="D12" s="16" t="n">
        <x:v>300</x:v>
      </x:c>
      <x:c r="E12" s="16" t="n">
        <x:v>130</x:v>
      </x:c>
      <x:c r="F12" s="30" t="n">
        <x:v>0.94</x:v>
      </x:c>
      <x:c r="G12" s="27" t="n">
        <x:v>185</x:v>
      </x:c>
      <x:c r="H12" s="16" t="n">
        <x:v>1.8</x:v>
      </x:c>
      <x:c r="I12" s="27" t="n">
        <x:v>11.5</x:v>
      </x:c>
      <x:c r="J12" s="30" t="n">
        <x:v>0.72</x:v>
      </x:c>
      <x:c r="K12" s="16" t="n">
        <x:v>31</x:v>
      </x:c>
      <x:c r="L12" s="30" t="n">
        <x:v>0.12</x:v>
      </x:c>
      <x:c r="M12" s="27" t="n">
        <x:v>2500</x:v>
      </x:c>
      <x:c r="N12" s="13" t="str">
        <x:f>IF(AND(IF(ISNUMBER(D12),AND(D12&gt;=0,D12&lt;=1000000000000),FALSE),IF(ISNUMBER(E12),AND(E12&gt;=0,E12&lt;=1000000000000),FALSE),IF(ISNUMBER(F12),AND(F12&gt;=0,F12&lt;=1),FALSE),IF(ISNUMBER(G12),AND(G12&gt;=0,G12&lt;=1000000000000),FALSE),IF(ISNUMBER(H12),AND(H12&gt;=0,H12&lt;=30),FALSE),IF(ISNUMBER(I12),AND(I12&gt;=0,I12&lt;=1000000000000),FALSE),IF(ISNUMBER(J12),AND(J12&gt;=0,J12&lt;=1),FALSE),IF(ISNUMBER(K12),AND(K12&gt;=0,K12&lt;=31,K12=INT(K12),IF(ISNUMBER(C12),K12&lt;=DAY(EOMONTH(C12,0)),FALSE)),FALSE),IF(ISNUMBER(L12),AND(L12&gt;=0,L12&lt;=1),FALSE),IF(ISNUMBER(M12),AND(M12&gt;=0,M12&lt;=1000000000000),FALSE)),"OK","Missing / invalid input")</x:f>
        <x:v>OK</x:v>
      </x:c>
      <x:c r="O12" s="2"/>
      <x:c r="P12" s="2"/>
    </x:row>
    <x:row r="13" ht="21" customHeight="1">
      <x:c r="A13" s="2"/>
      <x:c r="B13" s="2"/>
      <x:c r="C13" s="43" t="n">
        <x:f>IF(ISNUMBER('Assumptions'!D7),IF(AND('Assumptions'!D7=INT('Assumptions'!D7),'Assumptions'!D7&gt;=2000,'Assumptions'!D7&lt;=2100),DATE('Assumptions'!D7,4,1),"n.a."),"n.a.")</x:f>
        <x:v>46478</x:v>
      </x:c>
      <x:c r="D13" s="16" t="n">
        <x:v>300</x:v>
      </x:c>
      <x:c r="E13" s="16" t="n">
        <x:v>130</x:v>
      </x:c>
      <x:c r="F13" s="30" t="n">
        <x:v>0.94</x:v>
      </x:c>
      <x:c r="G13" s="27" t="n">
        <x:v>185</x:v>
      </x:c>
      <x:c r="H13" s="16" t="n">
        <x:v>1.8</x:v>
      </x:c>
      <x:c r="I13" s="27" t="n">
        <x:v>11.5</x:v>
      </x:c>
      <x:c r="J13" s="30" t="n">
        <x:v>0.72</x:v>
      </x:c>
      <x:c r="K13" s="16" t="n">
        <x:v>30</x:v>
      </x:c>
      <x:c r="L13" s="30" t="n">
        <x:v>0.12</x:v>
      </x:c>
      <x:c r="M13" s="27" t="n">
        <x:v>2500</x:v>
      </x:c>
      <x:c r="N13" s="13" t="str">
        <x:f>IF(AND(IF(ISNUMBER(D13),AND(D13&gt;=0,D13&lt;=1000000000000),FALSE),IF(ISNUMBER(E13),AND(E13&gt;=0,E13&lt;=1000000000000),FALSE),IF(ISNUMBER(F13),AND(F13&gt;=0,F13&lt;=1),FALSE),IF(ISNUMBER(G13),AND(G13&gt;=0,G13&lt;=1000000000000),FALSE),IF(ISNUMBER(H13),AND(H13&gt;=0,H13&lt;=30),FALSE),IF(ISNUMBER(I13),AND(I13&gt;=0,I13&lt;=1000000000000),FALSE),IF(ISNUMBER(J13),AND(J13&gt;=0,J13&lt;=1),FALSE),IF(ISNUMBER(K13),AND(K13&gt;=0,K13&lt;=31,K13=INT(K13),IF(ISNUMBER(C13),K13&lt;=DAY(EOMONTH(C13,0)),FALSE)),FALSE),IF(ISNUMBER(L13),AND(L13&gt;=0,L13&lt;=1),FALSE),IF(ISNUMBER(M13),AND(M13&gt;=0,M13&lt;=1000000000000),FALSE)),"OK","Missing / invalid input")</x:f>
        <x:v>OK</x:v>
      </x:c>
      <x:c r="O13" s="2"/>
      <x:c r="P13" s="2"/>
    </x:row>
    <x:row r="14" ht="21" customHeight="1">
      <x:c r="A14" s="2"/>
      <x:c r="B14" s="2"/>
      <x:c r="C14" s="43" t="n">
        <x:f>IF(ISNUMBER('Assumptions'!D7),IF(AND('Assumptions'!D7=INT('Assumptions'!D7),'Assumptions'!D7&gt;=2000,'Assumptions'!D7&lt;=2100),DATE('Assumptions'!D7,5,1),"n.a."),"n.a.")</x:f>
        <x:v>46508</x:v>
      </x:c>
      <x:c r="D14" s="16" t="n">
        <x:v>300</x:v>
      </x:c>
      <x:c r="E14" s="16" t="n">
        <x:v>130</x:v>
      </x:c>
      <x:c r="F14" s="30" t="n">
        <x:v>0.94</x:v>
      </x:c>
      <x:c r="G14" s="27" t="n">
        <x:v>185</x:v>
      </x:c>
      <x:c r="H14" s="16" t="n">
        <x:v>1.8</x:v>
      </x:c>
      <x:c r="I14" s="27" t="n">
        <x:v>11.5</x:v>
      </x:c>
      <x:c r="J14" s="30" t="n">
        <x:v>0.72</x:v>
      </x:c>
      <x:c r="K14" s="16" t="n">
        <x:v>31</x:v>
      </x:c>
      <x:c r="L14" s="30" t="n">
        <x:v>0.12</x:v>
      </x:c>
      <x:c r="M14" s="27" t="n">
        <x:v>2500</x:v>
      </x:c>
      <x:c r="N14" s="13" t="str">
        <x:f>IF(AND(IF(ISNUMBER(D14),AND(D14&gt;=0,D14&lt;=1000000000000),FALSE),IF(ISNUMBER(E14),AND(E14&gt;=0,E14&lt;=1000000000000),FALSE),IF(ISNUMBER(F14),AND(F14&gt;=0,F14&lt;=1),FALSE),IF(ISNUMBER(G14),AND(G14&gt;=0,G14&lt;=1000000000000),FALSE),IF(ISNUMBER(H14),AND(H14&gt;=0,H14&lt;=30),FALSE),IF(ISNUMBER(I14),AND(I14&gt;=0,I14&lt;=1000000000000),FALSE),IF(ISNUMBER(J14),AND(J14&gt;=0,J14&lt;=1),FALSE),IF(ISNUMBER(K14),AND(K14&gt;=0,K14&lt;=31,K14=INT(K14),IF(ISNUMBER(C14),K14&lt;=DAY(EOMONTH(C14,0)),FALSE)),FALSE),IF(ISNUMBER(L14),AND(L14&gt;=0,L14&lt;=1),FALSE),IF(ISNUMBER(M14),AND(M14&gt;=0,M14&lt;=1000000000000),FALSE)),"OK","Missing / invalid input")</x:f>
        <x:v>OK</x:v>
      </x:c>
      <x:c r="O14" s="2"/>
      <x:c r="P14" s="2"/>
    </x:row>
    <x:row r="15" ht="21" customHeight="1">
      <x:c r="A15" s="2"/>
      <x:c r="B15" s="2"/>
      <x:c r="C15" s="43" t="n">
        <x:f>IF(ISNUMBER('Assumptions'!D7),IF(AND('Assumptions'!D7=INT('Assumptions'!D7),'Assumptions'!D7&gt;=2000,'Assumptions'!D7&lt;=2100),DATE('Assumptions'!D7,6,1),"n.a."),"n.a.")</x:f>
        <x:v>46539</x:v>
      </x:c>
      <x:c r="D15" s="16" t="n">
        <x:v>300</x:v>
      </x:c>
      <x:c r="E15" s="16" t="n">
        <x:v>130</x:v>
      </x:c>
      <x:c r="F15" s="30" t="n">
        <x:v>0.94</x:v>
      </x:c>
      <x:c r="G15" s="27" t="n">
        <x:v>185</x:v>
      </x:c>
      <x:c r="H15" s="16" t="n">
        <x:v>1.8</x:v>
      </x:c>
      <x:c r="I15" s="27" t="n">
        <x:v>11.5</x:v>
      </x:c>
      <x:c r="J15" s="30" t="n">
        <x:v>0.72</x:v>
      </x:c>
      <x:c r="K15" s="16" t="n">
        <x:v>30</x:v>
      </x:c>
      <x:c r="L15" s="30" t="n">
        <x:v>0.12</x:v>
      </x:c>
      <x:c r="M15" s="27" t="n">
        <x:v>2500</x:v>
      </x:c>
      <x:c r="N15" s="13" t="str">
        <x:f>IF(AND(IF(ISNUMBER(D15),AND(D15&gt;=0,D15&lt;=1000000000000),FALSE),IF(ISNUMBER(E15),AND(E15&gt;=0,E15&lt;=1000000000000),FALSE),IF(ISNUMBER(F15),AND(F15&gt;=0,F15&lt;=1),FALSE),IF(ISNUMBER(G15),AND(G15&gt;=0,G15&lt;=1000000000000),FALSE),IF(ISNUMBER(H15),AND(H15&gt;=0,H15&lt;=30),FALSE),IF(ISNUMBER(I15),AND(I15&gt;=0,I15&lt;=1000000000000),FALSE),IF(ISNUMBER(J15),AND(J15&gt;=0,J15&lt;=1),FALSE),IF(ISNUMBER(K15),AND(K15&gt;=0,K15&lt;=31,K15=INT(K15),IF(ISNUMBER(C15),K15&lt;=DAY(EOMONTH(C15,0)),FALSE)),FALSE),IF(ISNUMBER(L15),AND(L15&gt;=0,L15&lt;=1),FALSE),IF(ISNUMBER(M15),AND(M15&gt;=0,M15&lt;=1000000000000),FALSE)),"OK","Missing / invalid input")</x:f>
        <x:v>OK</x:v>
      </x:c>
      <x:c r="O15" s="2"/>
      <x:c r="P15" s="2"/>
    </x:row>
    <x:row r="16" ht="21" customHeight="1">
      <x:c r="A16" s="2"/>
      <x:c r="B16" s="2"/>
      <x:c r="C16" s="43" t="n">
        <x:f>IF(ISNUMBER('Assumptions'!D7),IF(AND('Assumptions'!D7=INT('Assumptions'!D7),'Assumptions'!D7&gt;=2000,'Assumptions'!D7&lt;=2100),DATE('Assumptions'!D7,7,1),"n.a."),"n.a.")</x:f>
        <x:v>46569</x:v>
      </x:c>
      <x:c r="D16" s="16" t="n">
        <x:v>300</x:v>
      </x:c>
      <x:c r="E16" s="16" t="n">
        <x:v>130</x:v>
      </x:c>
      <x:c r="F16" s="30" t="n">
        <x:v>0.94</x:v>
      </x:c>
      <x:c r="G16" s="27" t="n">
        <x:v>185</x:v>
      </x:c>
      <x:c r="H16" s="16" t="n">
        <x:v>1.8</x:v>
      </x:c>
      <x:c r="I16" s="27" t="n">
        <x:v>11.5</x:v>
      </x:c>
      <x:c r="J16" s="30" t="n">
        <x:v>0.72</x:v>
      </x:c>
      <x:c r="K16" s="16" t="n">
        <x:v>31</x:v>
      </x:c>
      <x:c r="L16" s="30" t="n">
        <x:v>0.12</x:v>
      </x:c>
      <x:c r="M16" s="27" t="n">
        <x:v>160000</x:v>
      </x:c>
      <x:c r="N16" s="13" t="str">
        <x:f>IF(AND(IF(ISNUMBER(D16),AND(D16&gt;=0,D16&lt;=1000000000000),FALSE),IF(ISNUMBER(E16),AND(E16&gt;=0,E16&lt;=1000000000000),FALSE),IF(ISNUMBER(F16),AND(F16&gt;=0,F16&lt;=1),FALSE),IF(ISNUMBER(G16),AND(G16&gt;=0,G16&lt;=1000000000000),FALSE),IF(ISNUMBER(H16),AND(H16&gt;=0,H16&lt;=30),FALSE),IF(ISNUMBER(I16),AND(I16&gt;=0,I16&lt;=1000000000000),FALSE),IF(ISNUMBER(J16),AND(J16&gt;=0,J16&lt;=1),FALSE),IF(ISNUMBER(K16),AND(K16&gt;=0,K16&lt;=31,K16=INT(K16),IF(ISNUMBER(C16),K16&lt;=DAY(EOMONTH(C16,0)),FALSE)),FALSE),IF(ISNUMBER(L16),AND(L16&gt;=0,L16&lt;=1),FALSE),IF(ISNUMBER(M16),AND(M16&gt;=0,M16&lt;=1000000000000),FALSE)),"OK","Missing / invalid input")</x:f>
        <x:v>OK</x:v>
      </x:c>
      <x:c r="O16" s="2"/>
      <x:c r="P16" s="2"/>
    </x:row>
    <x:row r="17" ht="21" customHeight="1">
      <x:c r="A17" s="2"/>
      <x:c r="B17" s="2"/>
      <x:c r="C17" s="43" t="n">
        <x:f>IF(ISNUMBER('Assumptions'!D7),IF(AND('Assumptions'!D7=INT('Assumptions'!D7),'Assumptions'!D7&gt;=2000,'Assumptions'!D7&lt;=2100),DATE('Assumptions'!D7,8,1),"n.a."),"n.a.")</x:f>
        <x:v>46600</x:v>
      </x:c>
      <x:c r="D17" s="16" t="n">
        <x:v>300</x:v>
      </x:c>
      <x:c r="E17" s="16" t="n">
        <x:v>130</x:v>
      </x:c>
      <x:c r="F17" s="30" t="n">
        <x:v>0.94</x:v>
      </x:c>
      <x:c r="G17" s="27" t="n">
        <x:v>185</x:v>
      </x:c>
      <x:c r="H17" s="16" t="n">
        <x:v>1.8</x:v>
      </x:c>
      <x:c r="I17" s="27" t="n">
        <x:v>11.5</x:v>
      </x:c>
      <x:c r="J17" s="30" t="n">
        <x:v>0.72</x:v>
      </x:c>
      <x:c r="K17" s="16" t="n">
        <x:v>31</x:v>
      </x:c>
      <x:c r="L17" s="30" t="n">
        <x:v>0.12</x:v>
      </x:c>
      <x:c r="M17" s="27" t="n">
        <x:v>2500</x:v>
      </x:c>
      <x:c r="N17" s="13" t="str">
        <x:f>IF(AND(IF(ISNUMBER(D17),AND(D17&gt;=0,D17&lt;=1000000000000),FALSE),IF(ISNUMBER(E17),AND(E17&gt;=0,E17&lt;=1000000000000),FALSE),IF(ISNUMBER(F17),AND(F17&gt;=0,F17&lt;=1),FALSE),IF(ISNUMBER(G17),AND(G17&gt;=0,G17&lt;=1000000000000),FALSE),IF(ISNUMBER(H17),AND(H17&gt;=0,H17&lt;=30),FALSE),IF(ISNUMBER(I17),AND(I17&gt;=0,I17&lt;=1000000000000),FALSE),IF(ISNUMBER(J17),AND(J17&gt;=0,J17&lt;=1),FALSE),IF(ISNUMBER(K17),AND(K17&gt;=0,K17&lt;=31,K17=INT(K17),IF(ISNUMBER(C17),K17&lt;=DAY(EOMONTH(C17,0)),FALSE)),FALSE),IF(ISNUMBER(L17),AND(L17&gt;=0,L17&lt;=1),FALSE),IF(ISNUMBER(M17),AND(M17&gt;=0,M17&lt;=1000000000000),FALSE)),"OK","Missing / invalid input")</x:f>
        <x:v>OK</x:v>
      </x:c>
      <x:c r="O17" s="2"/>
      <x:c r="P17" s="2"/>
    </x:row>
    <x:row r="18" ht="21" customHeight="1">
      <x:c r="A18" s="2"/>
      <x:c r="B18" s="2"/>
      <x:c r="C18" s="43" t="n">
        <x:f>IF(ISNUMBER('Assumptions'!D7),IF(AND('Assumptions'!D7=INT('Assumptions'!D7),'Assumptions'!D7&gt;=2000,'Assumptions'!D7&lt;=2100),DATE('Assumptions'!D7,9,1),"n.a."),"n.a.")</x:f>
        <x:v>46631</x:v>
      </x:c>
      <x:c r="D18" s="16" t="n">
        <x:v>300</x:v>
      </x:c>
      <x:c r="E18" s="16" t="n">
        <x:v>130</x:v>
      </x:c>
      <x:c r="F18" s="30" t="n">
        <x:v>0.94</x:v>
      </x:c>
      <x:c r="G18" s="27" t="n">
        <x:v>185</x:v>
      </x:c>
      <x:c r="H18" s="16" t="n">
        <x:v>1.8</x:v>
      </x:c>
      <x:c r="I18" s="27" t="n">
        <x:v>11.5</x:v>
      </x:c>
      <x:c r="J18" s="30" t="n">
        <x:v>0.72</x:v>
      </x:c>
      <x:c r="K18" s="16" t="n">
        <x:v>30</x:v>
      </x:c>
      <x:c r="L18" s="30" t="n">
        <x:v>0.12</x:v>
      </x:c>
      <x:c r="M18" s="27" t="n">
        <x:v>2500</x:v>
      </x:c>
      <x:c r="N18" s="13" t="str">
        <x:f>IF(AND(IF(ISNUMBER(D18),AND(D18&gt;=0,D18&lt;=1000000000000),FALSE),IF(ISNUMBER(E18),AND(E18&gt;=0,E18&lt;=1000000000000),FALSE),IF(ISNUMBER(F18),AND(F18&gt;=0,F18&lt;=1),FALSE),IF(ISNUMBER(G18),AND(G18&gt;=0,G18&lt;=1000000000000),FALSE),IF(ISNUMBER(H18),AND(H18&gt;=0,H18&lt;=30),FALSE),IF(ISNUMBER(I18),AND(I18&gt;=0,I18&lt;=1000000000000),FALSE),IF(ISNUMBER(J18),AND(J18&gt;=0,J18&lt;=1),FALSE),IF(ISNUMBER(K18),AND(K18&gt;=0,K18&lt;=31,K18=INT(K18),IF(ISNUMBER(C18),K18&lt;=DAY(EOMONTH(C18,0)),FALSE)),FALSE),IF(ISNUMBER(L18),AND(L18&gt;=0,L18&lt;=1),FALSE),IF(ISNUMBER(M18),AND(M18&gt;=0,M18&lt;=1000000000000),FALSE)),"OK","Missing / invalid input")</x:f>
        <x:v>OK</x:v>
      </x:c>
      <x:c r="O18" s="2"/>
      <x:c r="P18" s="2"/>
    </x:row>
    <x:row r="19" ht="21" customHeight="1">
      <x:c r="A19" s="2"/>
      <x:c r="B19" s="2"/>
      <x:c r="C19" s="43" t="n">
        <x:f>IF(ISNUMBER('Assumptions'!D7),IF(AND('Assumptions'!D7=INT('Assumptions'!D7),'Assumptions'!D7&gt;=2000,'Assumptions'!D7&lt;=2100),DATE('Assumptions'!D7,10,1),"n.a."),"n.a.")</x:f>
        <x:v>46661</x:v>
      </x:c>
      <x:c r="D19" s="16" t="n">
        <x:v>300</x:v>
      </x:c>
      <x:c r="E19" s="16" t="n">
        <x:v>130</x:v>
      </x:c>
      <x:c r="F19" s="30" t="n">
        <x:v>0.94</x:v>
      </x:c>
      <x:c r="G19" s="27" t="n">
        <x:v>185</x:v>
      </x:c>
      <x:c r="H19" s="16" t="n">
        <x:v>1.8</x:v>
      </x:c>
      <x:c r="I19" s="27" t="n">
        <x:v>11.5</x:v>
      </x:c>
      <x:c r="J19" s="30" t="n">
        <x:v>0.72</x:v>
      </x:c>
      <x:c r="K19" s="16" t="n">
        <x:v>31</x:v>
      </x:c>
      <x:c r="L19" s="30" t="n">
        <x:v>0.12</x:v>
      </x:c>
      <x:c r="M19" s="27" t="n">
        <x:v>2500</x:v>
      </x:c>
      <x:c r="N19" s="13" t="str">
        <x:f>IF(AND(IF(ISNUMBER(D19),AND(D19&gt;=0,D19&lt;=1000000000000),FALSE),IF(ISNUMBER(E19),AND(E19&gt;=0,E19&lt;=1000000000000),FALSE),IF(ISNUMBER(F19),AND(F19&gt;=0,F19&lt;=1),FALSE),IF(ISNUMBER(G19),AND(G19&gt;=0,G19&lt;=1000000000000),FALSE),IF(ISNUMBER(H19),AND(H19&gt;=0,H19&lt;=30),FALSE),IF(ISNUMBER(I19),AND(I19&gt;=0,I19&lt;=1000000000000),FALSE),IF(ISNUMBER(J19),AND(J19&gt;=0,J19&lt;=1),FALSE),IF(ISNUMBER(K19),AND(K19&gt;=0,K19&lt;=31,K19=INT(K19),IF(ISNUMBER(C19),K19&lt;=DAY(EOMONTH(C19,0)),FALSE)),FALSE),IF(ISNUMBER(L19),AND(L19&gt;=0,L19&lt;=1),FALSE),IF(ISNUMBER(M19),AND(M19&gt;=0,M19&lt;=1000000000000),FALSE)),"OK","Missing / invalid input")</x:f>
        <x:v>OK</x:v>
      </x:c>
      <x:c r="O19" s="2"/>
      <x:c r="P19" s="2"/>
    </x:row>
    <x:row r="20" ht="21" customHeight="1">
      <x:c r="A20" s="2"/>
      <x:c r="B20" s="2"/>
      <x:c r="C20" s="43" t="n">
        <x:f>IF(ISNUMBER('Assumptions'!D7),IF(AND('Assumptions'!D7=INT('Assumptions'!D7),'Assumptions'!D7&gt;=2000,'Assumptions'!D7&lt;=2100),DATE('Assumptions'!D7,11,1),"n.a."),"n.a.")</x:f>
        <x:v>46692</x:v>
      </x:c>
      <x:c r="D20" s="16" t="n">
        <x:v>300</x:v>
      </x:c>
      <x:c r="E20" s="16" t="n">
        <x:v>130</x:v>
      </x:c>
      <x:c r="F20" s="30" t="n">
        <x:v>0.94</x:v>
      </x:c>
      <x:c r="G20" s="27" t="n">
        <x:v>185</x:v>
      </x:c>
      <x:c r="H20" s="16" t="n">
        <x:v>1.8</x:v>
      </x:c>
      <x:c r="I20" s="27" t="n">
        <x:v>11.5</x:v>
      </x:c>
      <x:c r="J20" s="30" t="n">
        <x:v>0.72</x:v>
      </x:c>
      <x:c r="K20" s="16" t="n">
        <x:v>30</x:v>
      </x:c>
      <x:c r="L20" s="30" t="n">
        <x:v>0.12</x:v>
      </x:c>
      <x:c r="M20" s="27" t="n">
        <x:v>2500</x:v>
      </x:c>
      <x:c r="N20" s="13" t="str">
        <x:f>IF(AND(IF(ISNUMBER(D20),AND(D20&gt;=0,D20&lt;=1000000000000),FALSE),IF(ISNUMBER(E20),AND(E20&gt;=0,E20&lt;=1000000000000),FALSE),IF(ISNUMBER(F20),AND(F20&gt;=0,F20&lt;=1),FALSE),IF(ISNUMBER(G20),AND(G20&gt;=0,G20&lt;=1000000000000),FALSE),IF(ISNUMBER(H20),AND(H20&gt;=0,H20&lt;=30),FALSE),IF(ISNUMBER(I20),AND(I20&gt;=0,I20&lt;=1000000000000),FALSE),IF(ISNUMBER(J20),AND(J20&gt;=0,J20&lt;=1),FALSE),IF(ISNUMBER(K20),AND(K20&gt;=0,K20&lt;=31,K20=INT(K20),IF(ISNUMBER(C20),K20&lt;=DAY(EOMONTH(C20,0)),FALSE)),FALSE),IF(ISNUMBER(L20),AND(L20&gt;=0,L20&lt;=1),FALSE),IF(ISNUMBER(M20),AND(M20&gt;=0,M20&lt;=1000000000000),FALSE)),"OK","Missing / invalid input")</x:f>
        <x:v>OK</x:v>
      </x:c>
      <x:c r="O20" s="2"/>
      <x:c r="P20" s="2"/>
    </x:row>
    <x:row r="21" ht="21" customHeight="1">
      <x:c r="A21" s="2"/>
      <x:c r="B21" s="2"/>
      <x:c r="C21" s="43" t="n">
        <x:f>IF(ISNUMBER('Assumptions'!D7),IF(AND('Assumptions'!D7=INT('Assumptions'!D7),'Assumptions'!D7&gt;=2000,'Assumptions'!D7&lt;=2100),DATE('Assumptions'!D7,12,1),"n.a."),"n.a.")</x:f>
        <x:v>46722</x:v>
      </x:c>
      <x:c r="D21" s="16" t="n">
        <x:v>300</x:v>
      </x:c>
      <x:c r="E21" s="16" t="n">
        <x:v>130</x:v>
      </x:c>
      <x:c r="F21" s="30" t="n">
        <x:v>0.94</x:v>
      </x:c>
      <x:c r="G21" s="27" t="n">
        <x:v>185</x:v>
      </x:c>
      <x:c r="H21" s="16" t="n">
        <x:v>1.8</x:v>
      </x:c>
      <x:c r="I21" s="27" t="n">
        <x:v>11.5</x:v>
      </x:c>
      <x:c r="J21" s="30" t="n">
        <x:v>0.6</x:v>
      </x:c>
      <x:c r="K21" s="16" t="n">
        <x:v>31</x:v>
      </x:c>
      <x:c r="L21" s="30" t="n">
        <x:v>0.12</x:v>
      </x:c>
      <x:c r="M21" s="27" t="n">
        <x:v>2500</x:v>
      </x:c>
      <x:c r="N21" s="13" t="str">
        <x:f>IF(AND(IF(ISNUMBER(D21),AND(D21&gt;=0,D21&lt;=1000000000000),FALSE),IF(ISNUMBER(E21),AND(E21&gt;=0,E21&lt;=1000000000000),FALSE),IF(ISNUMBER(F21),AND(F21&gt;=0,F21&lt;=1),FALSE),IF(ISNUMBER(G21),AND(G21&gt;=0,G21&lt;=1000000000000),FALSE),IF(ISNUMBER(H21),AND(H21&gt;=0,H21&lt;=30),FALSE),IF(ISNUMBER(I21),AND(I21&gt;=0,I21&lt;=1000000000000),FALSE),IF(ISNUMBER(J21),AND(J21&gt;=0,J21&lt;=1),FALSE),IF(ISNUMBER(K21),AND(K21&gt;=0,K21&lt;=31,K21=INT(K21),IF(ISNUMBER(C21),K21&lt;=DAY(EOMONTH(C21,0)),FALSE)),FALSE),IF(ISNUMBER(L21),AND(L21&gt;=0,L21&lt;=1),FALSE),IF(ISNUMBER(M21),AND(M21&gt;=0,M21&lt;=1000000000000),FALSE)),"OK","Missing / invalid input")</x:f>
        <x:v>OK</x:v>
      </x:c>
      <x:c r="O21" s="2"/>
      <x:c r="P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</x:row>
  </x:sheetData>
  <x:conditionalFormatting sqref="N10:N21">
    <x:cfRule type="containsText" dxfId="0" priority="1" operator="containsText" text="invalid"/>
  </x:conditionalFormatting>
  <x:dataValidations count="120">
    <x:dataValidation type="decimal" operator="between" sqref="D10">
      <x:formula1>0</x:formula1>
      <x:formula2>1000000000000</x:formula2>
    </x:dataValidation>
    <x:dataValidation type="decimal" operator="between" sqref="E10">
      <x:formula1>0</x:formula1>
      <x:formula2>1000000000000</x:formula2>
    </x:dataValidation>
    <x:dataValidation type="decimal" operator="between" sqref="F10">
      <x:formula1>0</x:formula1>
      <x:formula2>1</x:formula2>
    </x:dataValidation>
    <x:dataValidation type="decimal" operator="between" sqref="G10">
      <x:formula1>0</x:formula1>
      <x:formula2>1000000000000</x:formula2>
    </x:dataValidation>
    <x:dataValidation type="decimal" operator="between" sqref="H10">
      <x:formula1>0</x:formula1>
      <x:formula2>30</x:formula2>
    </x:dataValidation>
    <x:dataValidation type="decimal" operator="between" sqref="I10">
      <x:formula1>0</x:formula1>
      <x:formula2>1000000000000</x:formula2>
    </x:dataValidation>
    <x:dataValidation type="decimal" operator="between" sqref="J10">
      <x:formula1>0</x:formula1>
      <x:formula2>1</x:formula2>
    </x:dataValidation>
    <x:dataValidation type="decimal" operator="between" sqref="K10">
      <x:formula1>0</x:formula1>
      <x:formula2>31</x:formula2>
    </x:dataValidation>
    <x:dataValidation type="decimal" operator="between" sqref="L10">
      <x:formula1>0</x:formula1>
      <x:formula2>1</x:formula2>
    </x:dataValidation>
    <x:dataValidation type="decimal" operator="between" sqref="M10">
      <x:formula1>0</x:formula1>
      <x:formula2>1000000000000</x:formula2>
    </x:dataValidation>
    <x:dataValidation type="decimal" operator="between" sqref="D11">
      <x:formula1>0</x:formula1>
      <x:formula2>1000000000000</x:formula2>
    </x:dataValidation>
    <x:dataValidation type="decimal" operator="between" sqref="E11">
      <x:formula1>0</x:formula1>
      <x:formula2>1000000000000</x:formula2>
    </x:dataValidation>
    <x:dataValidation type="decimal" operator="between" sqref="F11">
      <x:formula1>0</x:formula1>
      <x:formula2>1</x:formula2>
    </x:dataValidation>
    <x:dataValidation type="decimal" operator="between" sqref="G11">
      <x:formula1>0</x:formula1>
      <x:formula2>1000000000000</x:formula2>
    </x:dataValidation>
    <x:dataValidation type="decimal" operator="between" sqref="H11">
      <x:formula1>0</x:formula1>
      <x:formula2>30</x:formula2>
    </x:dataValidation>
    <x:dataValidation type="decimal" operator="between" sqref="I11">
      <x:formula1>0</x:formula1>
      <x:formula2>1000000000000</x:formula2>
    </x:dataValidation>
    <x:dataValidation type="decimal" operator="between" sqref="J11">
      <x:formula1>0</x:formula1>
      <x:formula2>1</x:formula2>
    </x:dataValidation>
    <x:dataValidation type="decimal" operator="between" sqref="K11">
      <x:formula1>0</x:formula1>
      <x:formula2>31</x:formula2>
    </x:dataValidation>
    <x:dataValidation type="decimal" operator="between" sqref="L11">
      <x:formula1>0</x:formula1>
      <x:formula2>1</x:formula2>
    </x:dataValidation>
    <x:dataValidation type="decimal" operator="between" sqref="M11">
      <x:formula1>0</x:formula1>
      <x:formula2>1000000000000</x:formula2>
    </x:dataValidation>
    <x:dataValidation type="decimal" operator="between" sqref="D12">
      <x:formula1>0</x:formula1>
      <x:formula2>1000000000000</x:formula2>
    </x:dataValidation>
    <x:dataValidation type="decimal" operator="between" sqref="E12">
      <x:formula1>0</x:formula1>
      <x:formula2>1000000000000</x:formula2>
    </x:dataValidation>
    <x:dataValidation type="decimal" operator="between" sqref="F12">
      <x:formula1>0</x:formula1>
      <x:formula2>1</x:formula2>
    </x:dataValidation>
    <x:dataValidation type="decimal" operator="between" sqref="G12">
      <x:formula1>0</x:formula1>
      <x:formula2>1000000000000</x:formula2>
    </x:dataValidation>
    <x:dataValidation type="decimal" operator="between" sqref="H12">
      <x:formula1>0</x:formula1>
      <x:formula2>30</x:formula2>
    </x:dataValidation>
    <x:dataValidation type="decimal" operator="between" sqref="I12">
      <x:formula1>0</x:formula1>
      <x:formula2>1000000000000</x:formula2>
    </x:dataValidation>
    <x:dataValidation type="decimal" operator="between" sqref="J12">
      <x:formula1>0</x:formula1>
      <x:formula2>1</x:formula2>
    </x:dataValidation>
    <x:dataValidation type="decimal" operator="between" sqref="K12">
      <x:formula1>0</x:formula1>
      <x:formula2>31</x:formula2>
    </x:dataValidation>
    <x:dataValidation type="decimal" operator="between" sqref="L12">
      <x:formula1>0</x:formula1>
      <x:formula2>1</x:formula2>
    </x:dataValidation>
    <x:dataValidation type="decimal" operator="between" sqref="M12">
      <x:formula1>0</x:formula1>
      <x:formula2>1000000000000</x:formula2>
    </x:dataValidation>
    <x:dataValidation type="decimal" operator="between" sqref="D13">
      <x:formula1>0</x:formula1>
      <x:formula2>1000000000000</x:formula2>
    </x:dataValidation>
    <x:dataValidation type="decimal" operator="between" sqref="E13">
      <x:formula1>0</x:formula1>
      <x:formula2>1000000000000</x:formula2>
    </x:dataValidation>
    <x:dataValidation type="decimal" operator="between" sqref="F13">
      <x:formula1>0</x:formula1>
      <x:formula2>1</x:formula2>
    </x:dataValidation>
    <x:dataValidation type="decimal" operator="between" sqref="G13">
      <x:formula1>0</x:formula1>
      <x:formula2>1000000000000</x:formula2>
    </x:dataValidation>
    <x:dataValidation type="decimal" operator="between" sqref="H13">
      <x:formula1>0</x:formula1>
      <x:formula2>30</x:formula2>
    </x:dataValidation>
    <x:dataValidation type="decimal" operator="between" sqref="I13">
      <x:formula1>0</x:formula1>
      <x:formula2>1000000000000</x:formula2>
    </x:dataValidation>
    <x:dataValidation type="decimal" operator="between" sqref="J13">
      <x:formula1>0</x:formula1>
      <x:formula2>1</x:formula2>
    </x:dataValidation>
    <x:dataValidation type="decimal" operator="between" sqref="K13">
      <x:formula1>0</x:formula1>
      <x:formula2>31</x:formula2>
    </x:dataValidation>
    <x:dataValidation type="decimal" operator="between" sqref="L13">
      <x:formula1>0</x:formula1>
      <x:formula2>1</x:formula2>
    </x:dataValidation>
    <x:dataValidation type="decimal" operator="between" sqref="M13">
      <x:formula1>0</x:formula1>
      <x:formula2>1000000000000</x:formula2>
    </x:dataValidation>
    <x:dataValidation type="decimal" operator="between" sqref="D14">
      <x:formula1>0</x:formula1>
      <x:formula2>1000000000000</x:formula2>
    </x:dataValidation>
    <x:dataValidation type="decimal" operator="between" sqref="E14">
      <x:formula1>0</x:formula1>
      <x:formula2>1000000000000</x:formula2>
    </x:dataValidation>
    <x:dataValidation type="decimal" operator="between" sqref="F14">
      <x:formula1>0</x:formula1>
      <x:formula2>1</x:formula2>
    </x:dataValidation>
    <x:dataValidation type="decimal" operator="between" sqref="G14">
      <x:formula1>0</x:formula1>
      <x:formula2>1000000000000</x:formula2>
    </x:dataValidation>
    <x:dataValidation type="decimal" operator="between" sqref="H14">
      <x:formula1>0</x:formula1>
      <x:formula2>30</x:formula2>
    </x:dataValidation>
    <x:dataValidation type="decimal" operator="between" sqref="I14">
      <x:formula1>0</x:formula1>
      <x:formula2>1000000000000</x:formula2>
    </x:dataValidation>
    <x:dataValidation type="decimal" operator="between" sqref="J14">
      <x:formula1>0</x:formula1>
      <x:formula2>1</x:formula2>
    </x:dataValidation>
    <x:dataValidation type="decimal" operator="between" sqref="K14">
      <x:formula1>0</x:formula1>
      <x:formula2>31</x:formula2>
    </x:dataValidation>
    <x:dataValidation type="decimal" operator="between" sqref="L14">
      <x:formula1>0</x:formula1>
      <x:formula2>1</x:formula2>
    </x:dataValidation>
    <x:dataValidation type="decimal" operator="between" sqref="M14">
      <x:formula1>0</x:formula1>
      <x:formula2>1000000000000</x:formula2>
    </x:dataValidation>
    <x:dataValidation type="decimal" operator="between" sqref="D15">
      <x:formula1>0</x:formula1>
      <x:formula2>1000000000000</x:formula2>
    </x:dataValidation>
    <x:dataValidation type="decimal" operator="between" sqref="E15">
      <x:formula1>0</x:formula1>
      <x:formula2>1000000000000</x:formula2>
    </x:dataValidation>
    <x:dataValidation type="decimal" operator="between" sqref="F15">
      <x:formula1>0</x:formula1>
      <x:formula2>1</x:formula2>
    </x:dataValidation>
    <x:dataValidation type="decimal" operator="between" sqref="G15">
      <x:formula1>0</x:formula1>
      <x:formula2>1000000000000</x:formula2>
    </x:dataValidation>
    <x:dataValidation type="decimal" operator="between" sqref="H15">
      <x:formula1>0</x:formula1>
      <x:formula2>30</x:formula2>
    </x:dataValidation>
    <x:dataValidation type="decimal" operator="between" sqref="I15">
      <x:formula1>0</x:formula1>
      <x:formula2>1000000000000</x:formula2>
    </x:dataValidation>
    <x:dataValidation type="decimal" operator="between" sqref="J15">
      <x:formula1>0</x:formula1>
      <x:formula2>1</x:formula2>
    </x:dataValidation>
    <x:dataValidation type="decimal" operator="between" sqref="K15">
      <x:formula1>0</x:formula1>
      <x:formula2>31</x:formula2>
    </x:dataValidation>
    <x:dataValidation type="decimal" operator="between" sqref="L15">
      <x:formula1>0</x:formula1>
      <x:formula2>1</x:formula2>
    </x:dataValidation>
    <x:dataValidation type="decimal" operator="between" sqref="M15">
      <x:formula1>0</x:formula1>
      <x:formula2>1000000000000</x:formula2>
    </x:dataValidation>
    <x:dataValidation type="decimal" operator="between" sqref="D16">
      <x:formula1>0</x:formula1>
      <x:formula2>1000000000000</x:formula2>
    </x:dataValidation>
    <x:dataValidation type="decimal" operator="between" sqref="E16">
      <x:formula1>0</x:formula1>
      <x:formula2>1000000000000</x:formula2>
    </x:dataValidation>
    <x:dataValidation type="decimal" operator="between" sqref="F16">
      <x:formula1>0</x:formula1>
      <x:formula2>1</x:formula2>
    </x:dataValidation>
    <x:dataValidation type="decimal" operator="between" sqref="G16">
      <x:formula1>0</x:formula1>
      <x:formula2>1000000000000</x:formula2>
    </x:dataValidation>
    <x:dataValidation type="decimal" operator="between" sqref="H16">
      <x:formula1>0</x:formula1>
      <x:formula2>30</x:formula2>
    </x:dataValidation>
    <x:dataValidation type="decimal" operator="between" sqref="I16">
      <x:formula1>0</x:formula1>
      <x:formula2>1000000000000</x:formula2>
    </x:dataValidation>
    <x:dataValidation type="decimal" operator="between" sqref="J16">
      <x:formula1>0</x:formula1>
      <x:formula2>1</x:formula2>
    </x:dataValidation>
    <x:dataValidation type="decimal" operator="between" sqref="K16">
      <x:formula1>0</x:formula1>
      <x:formula2>31</x:formula2>
    </x:dataValidation>
    <x:dataValidation type="decimal" operator="between" sqref="L16">
      <x:formula1>0</x:formula1>
      <x:formula2>1</x:formula2>
    </x:dataValidation>
    <x:dataValidation type="decimal" operator="between" sqref="M16">
      <x:formula1>0</x:formula1>
      <x:formula2>1000000000000</x:formula2>
    </x:dataValidation>
    <x:dataValidation type="decimal" operator="between" sqref="D17">
      <x:formula1>0</x:formula1>
      <x:formula2>1000000000000</x:formula2>
    </x:dataValidation>
    <x:dataValidation type="decimal" operator="between" sqref="E17">
      <x:formula1>0</x:formula1>
      <x:formula2>1000000000000</x:formula2>
    </x:dataValidation>
    <x:dataValidation type="decimal" operator="between" sqref="F17">
      <x:formula1>0</x:formula1>
      <x:formula2>1</x:formula2>
    </x:dataValidation>
    <x:dataValidation type="decimal" operator="between" sqref="G17">
      <x:formula1>0</x:formula1>
      <x:formula2>1000000000000</x:formula2>
    </x:dataValidation>
    <x:dataValidation type="decimal" operator="between" sqref="H17">
      <x:formula1>0</x:formula1>
      <x:formula2>30</x:formula2>
    </x:dataValidation>
    <x:dataValidation type="decimal" operator="between" sqref="I17">
      <x:formula1>0</x:formula1>
      <x:formula2>1000000000000</x:formula2>
    </x:dataValidation>
    <x:dataValidation type="decimal" operator="between" sqref="J17">
      <x:formula1>0</x:formula1>
      <x:formula2>1</x:formula2>
    </x:dataValidation>
    <x:dataValidation type="decimal" operator="between" sqref="K17">
      <x:formula1>0</x:formula1>
      <x:formula2>31</x:formula2>
    </x:dataValidation>
    <x:dataValidation type="decimal" operator="between" sqref="L17">
      <x:formula1>0</x:formula1>
      <x:formula2>1</x:formula2>
    </x:dataValidation>
    <x:dataValidation type="decimal" operator="between" sqref="M17">
      <x:formula1>0</x:formula1>
      <x:formula2>1000000000000</x:formula2>
    </x:dataValidation>
    <x:dataValidation type="decimal" operator="between" sqref="D18">
      <x:formula1>0</x:formula1>
      <x:formula2>1000000000000</x:formula2>
    </x:dataValidation>
    <x:dataValidation type="decimal" operator="between" sqref="E18">
      <x:formula1>0</x:formula1>
      <x:formula2>1000000000000</x:formula2>
    </x:dataValidation>
    <x:dataValidation type="decimal" operator="between" sqref="F18">
      <x:formula1>0</x:formula1>
      <x:formula2>1</x:formula2>
    </x:dataValidation>
    <x:dataValidation type="decimal" operator="between" sqref="G18">
      <x:formula1>0</x:formula1>
      <x:formula2>1000000000000</x:formula2>
    </x:dataValidation>
    <x:dataValidation type="decimal" operator="between" sqref="H18">
      <x:formula1>0</x:formula1>
      <x:formula2>30</x:formula2>
    </x:dataValidation>
    <x:dataValidation type="decimal" operator="between" sqref="I18">
      <x:formula1>0</x:formula1>
      <x:formula2>1000000000000</x:formula2>
    </x:dataValidation>
    <x:dataValidation type="decimal" operator="between" sqref="J18">
      <x:formula1>0</x:formula1>
      <x:formula2>1</x:formula2>
    </x:dataValidation>
    <x:dataValidation type="decimal" operator="between" sqref="K18">
      <x:formula1>0</x:formula1>
      <x:formula2>31</x:formula2>
    </x:dataValidation>
    <x:dataValidation type="decimal" operator="between" sqref="L18">
      <x:formula1>0</x:formula1>
      <x:formula2>1</x:formula2>
    </x:dataValidation>
    <x:dataValidation type="decimal" operator="between" sqref="M18">
      <x:formula1>0</x:formula1>
      <x:formula2>1000000000000</x:formula2>
    </x:dataValidation>
    <x:dataValidation type="decimal" operator="between" sqref="D19">
      <x:formula1>0</x:formula1>
      <x:formula2>1000000000000</x:formula2>
    </x:dataValidation>
    <x:dataValidation type="decimal" operator="between" sqref="E19">
      <x:formula1>0</x:formula1>
      <x:formula2>1000000000000</x:formula2>
    </x:dataValidation>
    <x:dataValidation type="decimal" operator="between" sqref="F19">
      <x:formula1>0</x:formula1>
      <x:formula2>1</x:formula2>
    </x:dataValidation>
    <x:dataValidation type="decimal" operator="between" sqref="G19">
      <x:formula1>0</x:formula1>
      <x:formula2>1000000000000</x:formula2>
    </x:dataValidation>
    <x:dataValidation type="decimal" operator="between" sqref="H19">
      <x:formula1>0</x:formula1>
      <x:formula2>30</x:formula2>
    </x:dataValidation>
    <x:dataValidation type="decimal" operator="between" sqref="I19">
      <x:formula1>0</x:formula1>
      <x:formula2>1000000000000</x:formula2>
    </x:dataValidation>
    <x:dataValidation type="decimal" operator="between" sqref="J19">
      <x:formula1>0</x:formula1>
      <x:formula2>1</x:formula2>
    </x:dataValidation>
    <x:dataValidation type="decimal" operator="between" sqref="K19">
      <x:formula1>0</x:formula1>
      <x:formula2>31</x:formula2>
    </x:dataValidation>
    <x:dataValidation type="decimal" operator="between" sqref="L19">
      <x:formula1>0</x:formula1>
      <x:formula2>1</x:formula2>
    </x:dataValidation>
    <x:dataValidation type="decimal" operator="between" sqref="M19">
      <x:formula1>0</x:formula1>
      <x:formula2>1000000000000</x:formula2>
    </x:dataValidation>
    <x:dataValidation type="decimal" operator="between" sqref="D20">
      <x:formula1>0</x:formula1>
      <x:formula2>1000000000000</x:formula2>
    </x:dataValidation>
    <x:dataValidation type="decimal" operator="between" sqref="E20">
      <x:formula1>0</x:formula1>
      <x:formula2>1000000000000</x:formula2>
    </x:dataValidation>
    <x:dataValidation type="decimal" operator="between" sqref="F20">
      <x:formula1>0</x:formula1>
      <x:formula2>1</x:formula2>
    </x:dataValidation>
    <x:dataValidation type="decimal" operator="between" sqref="G20">
      <x:formula1>0</x:formula1>
      <x:formula2>1000000000000</x:formula2>
    </x:dataValidation>
    <x:dataValidation type="decimal" operator="between" sqref="H20">
      <x:formula1>0</x:formula1>
      <x:formula2>30</x:formula2>
    </x:dataValidation>
    <x:dataValidation type="decimal" operator="between" sqref="I20">
      <x:formula1>0</x:formula1>
      <x:formula2>1000000000000</x:formula2>
    </x:dataValidation>
    <x:dataValidation type="decimal" operator="between" sqref="J20">
      <x:formula1>0</x:formula1>
      <x:formula2>1</x:formula2>
    </x:dataValidation>
    <x:dataValidation type="decimal" operator="between" sqref="K20">
      <x:formula1>0</x:formula1>
      <x:formula2>31</x:formula2>
    </x:dataValidation>
    <x:dataValidation type="decimal" operator="between" sqref="L20">
      <x:formula1>0</x:formula1>
      <x:formula2>1</x:formula2>
    </x:dataValidation>
    <x:dataValidation type="decimal" operator="between" sqref="M20">
      <x:formula1>0</x:formula1>
      <x:formula2>1000000000000</x:formula2>
    </x:dataValidation>
    <x:dataValidation type="decimal" operator="between" sqref="D21">
      <x:formula1>0</x:formula1>
      <x:formula2>1000000000000</x:formula2>
    </x:dataValidation>
    <x:dataValidation type="decimal" operator="between" sqref="E21">
      <x:formula1>0</x:formula1>
      <x:formula2>1000000000000</x:formula2>
    </x:dataValidation>
    <x:dataValidation type="decimal" operator="between" sqref="F21">
      <x:formula1>0</x:formula1>
      <x:formula2>1</x:formula2>
    </x:dataValidation>
    <x:dataValidation type="decimal" operator="between" sqref="G21">
      <x:formula1>0</x:formula1>
      <x:formula2>1000000000000</x:formula2>
    </x:dataValidation>
    <x:dataValidation type="decimal" operator="between" sqref="H21">
      <x:formula1>0</x:formula1>
      <x:formula2>30</x:formula2>
    </x:dataValidation>
    <x:dataValidation type="decimal" operator="between" sqref="I21">
      <x:formula1>0</x:formula1>
      <x:formula2>1000000000000</x:formula2>
    </x:dataValidation>
    <x:dataValidation type="decimal" operator="between" sqref="J21">
      <x:formula1>0</x:formula1>
      <x:formula2>1</x:formula2>
    </x:dataValidation>
    <x:dataValidation type="decimal" operator="between" sqref="K21">
      <x:formula1>0</x:formula1>
      <x:formula2>31</x:formula2>
    </x:dataValidation>
    <x:dataValidation type="decimal" operator="between" sqref="L21">
      <x:formula1>0</x:formula1>
      <x:formula2>1</x:formula2>
    </x:dataValidation>
    <x:dataValidation type="decimal" operator="between" sqref="M21">
      <x:formula1>0</x:formula1>
      <x:formula2>1000000000000</x:formula2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54" hidden="0" customWidth="1"/>
    <x:col min="4" max="4" width="9" hidden="0" customWidth="1"/>
    <x:col min="5" max="5" width="17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Monthly operating cash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 t="str">
        <x:v>USD unless labeled. Monthly cash convention; capital and debt are below NCF.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30" customHeight="1">
      <x:c r="A9" s="2"/>
      <x:c r="B9" s="2"/>
      <x:c r="C9" s="21" t="str">
        <x:v>Operating driver / calculation</x:v>
      </x:c>
      <x:c r="D9" s="21" t="str">
        <x:v>Unit</x:v>
      </x:c>
      <x:c r="E9" s="21" t="str">
        <x:v>Year total</x:v>
      </x:c>
      <x:c r="F9" s="2"/>
      <x:c r="G9" s="46" t="n">
        <x:f>IF(ISNUMBER('Assumptions'!D7),IF(AND('Assumptions'!D7=INT('Assumptions'!D7),'Assumptions'!D7&gt;=2000,'Assumptions'!D7&lt;=2100),DATE('Assumptions'!D7,1,1),"n.a."),"n.a.")</x:f>
        <x:v>46388</x:v>
      </x:c>
      <x:c r="H9" s="46" t="n">
        <x:f>IF(ISNUMBER('Assumptions'!D7),IF(AND('Assumptions'!D7=INT('Assumptions'!D7),'Assumptions'!D7&gt;=2000,'Assumptions'!D7&lt;=2100),DATE('Assumptions'!D7,2,1),"n.a."),"n.a.")</x:f>
        <x:v>46419</x:v>
      </x:c>
      <x:c r="I9" s="46" t="n">
        <x:f>IF(ISNUMBER('Assumptions'!D7),IF(AND('Assumptions'!D7=INT('Assumptions'!D7),'Assumptions'!D7&gt;=2000,'Assumptions'!D7&lt;=2100),DATE('Assumptions'!D7,3,1),"n.a."),"n.a.")</x:f>
        <x:v>46447</x:v>
      </x:c>
      <x:c r="J9" s="46" t="n">
        <x:f>IF(ISNUMBER('Assumptions'!D7),IF(AND('Assumptions'!D7=INT('Assumptions'!D7),'Assumptions'!D7&gt;=2000,'Assumptions'!D7&lt;=2100),DATE('Assumptions'!D7,4,1),"n.a."),"n.a.")</x:f>
        <x:v>46478</x:v>
      </x:c>
      <x:c r="K9" s="46" t="n">
        <x:f>IF(ISNUMBER('Assumptions'!D7),IF(AND('Assumptions'!D7=INT('Assumptions'!D7),'Assumptions'!D7&gt;=2000,'Assumptions'!D7&lt;=2100),DATE('Assumptions'!D7,5,1),"n.a."),"n.a.")</x:f>
        <x:v>46508</x:v>
      </x:c>
      <x:c r="L9" s="46" t="n">
        <x:f>IF(ISNUMBER('Assumptions'!D7),IF(AND('Assumptions'!D7=INT('Assumptions'!D7),'Assumptions'!D7&gt;=2000,'Assumptions'!D7&lt;=2100),DATE('Assumptions'!D7,6,1),"n.a."),"n.a.")</x:f>
        <x:v>46539</x:v>
      </x:c>
      <x:c r="M9" s="46" t="n">
        <x:f>IF(ISNUMBER('Assumptions'!D7),IF(AND('Assumptions'!D7=INT('Assumptions'!D7),'Assumptions'!D7&gt;=2000,'Assumptions'!D7&lt;=2100),DATE('Assumptions'!D7,7,1),"n.a."),"n.a.")</x:f>
        <x:v>46569</x:v>
      </x:c>
      <x:c r="N9" s="46" t="n">
        <x:f>IF(ISNUMBER('Assumptions'!D7),IF(AND('Assumptions'!D7=INT('Assumptions'!D7),'Assumptions'!D7&gt;=2000,'Assumptions'!D7&lt;=2100),DATE('Assumptions'!D7,8,1),"n.a."),"n.a.")</x:f>
        <x:v>46600</x:v>
      </x:c>
      <x:c r="O9" s="46" t="n">
        <x:f>IF(ISNUMBER('Assumptions'!D7),IF(AND('Assumptions'!D7=INT('Assumptions'!D7),'Assumptions'!D7&gt;=2000,'Assumptions'!D7&lt;=2100),DATE('Assumptions'!D7,9,1),"n.a."),"n.a.")</x:f>
        <x:v>46631</x:v>
      </x:c>
      <x:c r="P9" s="46" t="n">
        <x:f>IF(ISNUMBER('Assumptions'!D7),IF(AND('Assumptions'!D7=INT('Assumptions'!D7),'Assumptions'!D7&gt;=2000,'Assumptions'!D7&lt;=2100),DATE('Assumptions'!D7,10,1),"n.a."),"n.a.")</x:f>
        <x:v>46661</x:v>
      </x:c>
      <x:c r="Q9" s="46" t="n">
        <x:f>IF(ISNUMBER('Assumptions'!D7),IF(AND('Assumptions'!D7=INT('Assumptions'!D7),'Assumptions'!D7&gt;=2000,'Assumptions'!D7&lt;=2100),DATE('Assumptions'!D7,11,1),"n.a."),"n.a.")</x:f>
        <x:v>46692</x:v>
      </x:c>
      <x:c r="R9" s="46" t="n">
        <x:f>IF(ISNUMBER('Assumptions'!D7),IF(AND('Assumptions'!D7=INT('Assumptions'!D7),'Assumptions'!D7&gt;=2000,'Assumptions'!D7&lt;=2100),DATE('Assumptions'!D7,12,1),"n.a."),"n.a.")</x:f>
        <x:v>46722</x:v>
      </x:c>
    </x:row>
    <x:row r="10" ht="21" customHeight="1">
      <x:c r="A10" s="2"/>
      <x:c r="B10" s="2"/>
      <x:c r="C10" s="2" t="str">
        <x:v>Spaces reserved for permit customers</x:v>
      </x:c>
      <x:c r="D10" s="2" t="str">
        <x:v>spaces avg</x:v>
      </x:c>
      <x:c r="E10" s="49" t="n">
        <x:f>IF(COUNT(G10:R10)=12,AVERAGE(G10:R10),"n.a.")</x:f>
        <x:v>130</x:v>
      </x:c>
      <x:c r="F10" s="2"/>
      <x:c r="G10" s="48" t="n">
        <x:f>IF(AND('Permits and Transient Parking'!N10="OK"),IF(AND(ISNUMBER('Permits and Transient Parking'!$D$10),ISNUMBER('Permits and Transient Parking'!$E$10)),MIN('Permits and Transient Parking'!$D$10,'Permits and Transient Parking'!$E$10),"n.a."),"n.a.")</x:f>
        <x:v>130</x:v>
      </x:c>
      <x:c r="H10" s="48" t="n">
        <x:f>IF(AND('Permits and Transient Parking'!N11="OK"),IF(AND(ISNUMBER('Permits and Transient Parking'!$D$11),ISNUMBER('Permits and Transient Parking'!$E$11)),MIN('Permits and Transient Parking'!$D$11,'Permits and Transient Parking'!$E$11),"n.a."),"n.a.")</x:f>
        <x:v>130</x:v>
      </x:c>
      <x:c r="I10" s="48" t="n">
        <x:f>IF(AND('Permits and Transient Parking'!N12="OK"),IF(AND(ISNUMBER('Permits and Transient Parking'!$D$12),ISNUMBER('Permits and Transient Parking'!$E$12)),MIN('Permits and Transient Parking'!$D$12,'Permits and Transient Parking'!$E$12),"n.a."),"n.a.")</x:f>
        <x:v>130</x:v>
      </x:c>
      <x:c r="J10" s="48" t="n">
        <x:f>IF(AND('Permits and Transient Parking'!N13="OK"),IF(AND(ISNUMBER('Permits and Transient Parking'!$D$13),ISNUMBER('Permits and Transient Parking'!$E$13)),MIN('Permits and Transient Parking'!$D$13,'Permits and Transient Parking'!$E$13),"n.a."),"n.a.")</x:f>
        <x:v>130</x:v>
      </x:c>
      <x:c r="K10" s="48" t="n">
        <x:f>IF(AND('Permits and Transient Parking'!N14="OK"),IF(AND(ISNUMBER('Permits and Transient Parking'!$D$14),ISNUMBER('Permits and Transient Parking'!$E$14)),MIN('Permits and Transient Parking'!$D$14,'Permits and Transient Parking'!$E$14),"n.a."),"n.a.")</x:f>
        <x:v>130</x:v>
      </x:c>
      <x:c r="L10" s="48" t="n">
        <x:f>IF(AND('Permits and Transient Parking'!N15="OK"),IF(AND(ISNUMBER('Permits and Transient Parking'!$D$15),ISNUMBER('Permits and Transient Parking'!$E$15)),MIN('Permits and Transient Parking'!$D$15,'Permits and Transient Parking'!$E$15),"n.a."),"n.a.")</x:f>
        <x:v>130</x:v>
      </x:c>
      <x:c r="M10" s="48" t="n">
        <x:f>IF(AND('Permits and Transient Parking'!N16="OK"),IF(AND(ISNUMBER('Permits and Transient Parking'!$D$16),ISNUMBER('Permits and Transient Parking'!$E$16)),MIN('Permits and Transient Parking'!$D$16,'Permits and Transient Parking'!$E$16),"n.a."),"n.a.")</x:f>
        <x:v>130</x:v>
      </x:c>
      <x:c r="N10" s="48" t="n">
        <x:f>IF(AND('Permits and Transient Parking'!N17="OK"),IF(AND(ISNUMBER('Permits and Transient Parking'!$D$17),ISNUMBER('Permits and Transient Parking'!$E$17)),MIN('Permits and Transient Parking'!$D$17,'Permits and Transient Parking'!$E$17),"n.a."),"n.a.")</x:f>
        <x:v>130</x:v>
      </x:c>
      <x:c r="O10" s="48" t="n">
        <x:f>IF(AND('Permits and Transient Parking'!N18="OK"),IF(AND(ISNUMBER('Permits and Transient Parking'!$D$18),ISNUMBER('Permits and Transient Parking'!$E$18)),MIN('Permits and Transient Parking'!$D$18,'Permits and Transient Parking'!$E$18),"n.a."),"n.a.")</x:f>
        <x:v>130</x:v>
      </x:c>
      <x:c r="P10" s="48" t="n">
        <x:f>IF(AND('Permits and Transient Parking'!N19="OK"),IF(AND(ISNUMBER('Permits and Transient Parking'!$D$19),ISNUMBER('Permits and Transient Parking'!$E$19)),MIN('Permits and Transient Parking'!$D$19,'Permits and Transient Parking'!$E$19),"n.a."),"n.a.")</x:f>
        <x:v>130</x:v>
      </x:c>
      <x:c r="Q10" s="48" t="n">
        <x:f>IF(AND('Permits and Transient Parking'!N20="OK"),IF(AND(ISNUMBER('Permits and Transient Parking'!$D$20),ISNUMBER('Permits and Transient Parking'!$E$20)),MIN('Permits and Transient Parking'!$D$20,'Permits and Transient Parking'!$E$20),"n.a."),"n.a.")</x:f>
        <x:v>130</x:v>
      </x:c>
      <x:c r="R10" s="48" t="n">
        <x:f>IF(AND('Permits and Transient Parking'!N21="OK"),IF(AND(ISNUMBER('Permits and Transient Parking'!$D$21),ISNUMBER('Permits and Transient Parking'!$E$21)),MIN('Permits and Transient Parking'!$D$21,'Permits and Transient Parking'!$E$21),"n.a."),"n.a.")</x:f>
        <x:v>130</x:v>
      </x:c>
    </x:row>
    <x:row r="11" ht="21" customHeight="1">
      <x:c r="A11" s="2"/>
      <x:c r="B11" s="2"/>
      <x:c r="C11" s="2" t="str">
        <x:v>Paying monthly permits</x:v>
      </x:c>
      <x:c r="D11" s="2" t="str">
        <x:v>permits avg</x:v>
      </x:c>
      <x:c r="E11" s="49" t="n">
        <x:f>IF(COUNT(G11:R11)=12,AVERAGE(G11:R11),"n.a.")</x:f>
        <x:v>122.20000000000003</x:v>
      </x:c>
      <x:c r="F11" s="2"/>
      <x:c r="G11" s="48" t="n">
        <x:f>IF(AND('Permits and Transient Parking'!N10="OK"),IF(AND(ISNUMBER(G10),ISNUMBER('Permits and Transient Parking'!$F$10),ISNUMBER('Assumptions'!$D$61)),G10*MIN(1,'Permits and Transient Parking'!$F$10*'Assumptions'!$D$61),"n.a."),"n.a.")</x:f>
        <x:v>122.19999999999999</x:v>
      </x:c>
      <x:c r="H11" s="48" t="n">
        <x:f>IF(AND('Permits and Transient Parking'!N11="OK"),IF(AND(ISNUMBER(H10),ISNUMBER('Permits and Transient Parking'!$F$11),ISNUMBER('Assumptions'!$D$61)),H10*MIN(1,'Permits and Transient Parking'!$F$11*'Assumptions'!$D$61),"n.a."),"n.a.")</x:f>
        <x:v>122.19999999999999</x:v>
      </x:c>
      <x:c r="I11" s="48" t="n">
        <x:f>IF(AND('Permits and Transient Parking'!N12="OK"),IF(AND(ISNUMBER(I10),ISNUMBER('Permits and Transient Parking'!$F$12),ISNUMBER('Assumptions'!$D$61)),I10*MIN(1,'Permits and Transient Parking'!$F$12*'Assumptions'!$D$61),"n.a."),"n.a.")</x:f>
        <x:v>122.19999999999999</x:v>
      </x:c>
      <x:c r="J11" s="48" t="n">
        <x:f>IF(AND('Permits and Transient Parking'!N13="OK"),IF(AND(ISNUMBER(J10),ISNUMBER('Permits and Transient Parking'!$F$13),ISNUMBER('Assumptions'!$D$61)),J10*MIN(1,'Permits and Transient Parking'!$F$13*'Assumptions'!$D$61),"n.a."),"n.a.")</x:f>
        <x:v>122.19999999999999</x:v>
      </x:c>
      <x:c r="K11" s="48" t="n">
        <x:f>IF(AND('Permits and Transient Parking'!N14="OK"),IF(AND(ISNUMBER(K10),ISNUMBER('Permits and Transient Parking'!$F$14),ISNUMBER('Assumptions'!$D$61)),K10*MIN(1,'Permits and Transient Parking'!$F$14*'Assumptions'!$D$61),"n.a."),"n.a.")</x:f>
        <x:v>122.19999999999999</x:v>
      </x:c>
      <x:c r="L11" s="48" t="n">
        <x:f>IF(AND('Permits and Transient Parking'!N15="OK"),IF(AND(ISNUMBER(L10),ISNUMBER('Permits and Transient Parking'!$F$15),ISNUMBER('Assumptions'!$D$61)),L10*MIN(1,'Permits and Transient Parking'!$F$15*'Assumptions'!$D$61),"n.a."),"n.a.")</x:f>
        <x:v>122.19999999999999</x:v>
      </x:c>
      <x:c r="M11" s="48" t="n">
        <x:f>IF(AND('Permits and Transient Parking'!N16="OK"),IF(AND(ISNUMBER(M10),ISNUMBER('Permits and Transient Parking'!$F$16),ISNUMBER('Assumptions'!$D$61)),M10*MIN(1,'Permits and Transient Parking'!$F$16*'Assumptions'!$D$61),"n.a."),"n.a.")</x:f>
        <x:v>122.19999999999999</x:v>
      </x:c>
      <x:c r="N11" s="48" t="n">
        <x:f>IF(AND('Permits and Transient Parking'!N17="OK"),IF(AND(ISNUMBER(N10),ISNUMBER('Permits and Transient Parking'!$F$17),ISNUMBER('Assumptions'!$D$61)),N10*MIN(1,'Permits and Transient Parking'!$F$17*'Assumptions'!$D$61),"n.a."),"n.a.")</x:f>
        <x:v>122.19999999999999</x:v>
      </x:c>
      <x:c r="O11" s="48" t="n">
        <x:f>IF(AND('Permits and Transient Parking'!N18="OK"),IF(AND(ISNUMBER(O10),ISNUMBER('Permits and Transient Parking'!$F$18),ISNUMBER('Assumptions'!$D$61)),O10*MIN(1,'Permits and Transient Parking'!$F$18*'Assumptions'!$D$61),"n.a."),"n.a.")</x:f>
        <x:v>122.19999999999999</x:v>
      </x:c>
      <x:c r="P11" s="48" t="n">
        <x:f>IF(AND('Permits and Transient Parking'!N19="OK"),IF(AND(ISNUMBER(P10),ISNUMBER('Permits and Transient Parking'!$F$19),ISNUMBER('Assumptions'!$D$61)),P10*MIN(1,'Permits and Transient Parking'!$F$19*'Assumptions'!$D$61),"n.a."),"n.a.")</x:f>
        <x:v>122.19999999999999</x:v>
      </x:c>
      <x:c r="Q11" s="48" t="n">
        <x:f>IF(AND('Permits and Transient Parking'!N20="OK"),IF(AND(ISNUMBER(Q10),ISNUMBER('Permits and Transient Parking'!$F$20),ISNUMBER('Assumptions'!$D$61)),Q10*MIN(1,'Permits and Transient Parking'!$F$20*'Assumptions'!$D$61),"n.a."),"n.a.")</x:f>
        <x:v>122.19999999999999</x:v>
      </x:c>
      <x:c r="R11" s="48" t="n">
        <x:f>IF(AND('Permits and Transient Parking'!N21="OK"),IF(AND(ISNUMBER(R10),ISNUMBER('Permits and Transient Parking'!$F$21),ISNUMBER('Assumptions'!$D$61)),R10*MIN(1,'Permits and Transient Parking'!$F$21*'Assumptions'!$D$61),"n.a."),"n.a.")</x:f>
        <x:v>122.19999999999999</x:v>
      </x:c>
    </x:row>
    <x:row r="12" ht="21" customHeight="1">
      <x:c r="A12" s="2"/>
      <x:c r="B12" s="2"/>
      <x:c r="C12" s="2" t="str">
        <x:v>Separate transient-space inventory</x:v>
      </x:c>
      <x:c r="D12" s="2" t="str">
        <x:v>spaces avg</x:v>
      </x:c>
      <x:c r="E12" s="49" t="n">
        <x:f>IF(COUNT(G12:R12)=12,AVERAGE(G12:R12),"n.a.")</x:f>
        <x:v>170</x:v>
      </x:c>
      <x:c r="F12" s="2"/>
      <x:c r="G12" s="48" t="n">
        <x:f>IF(AND('Permits and Transient Parking'!N10="OK"),IF(AND(ISNUMBER('Permits and Transient Parking'!$D$10),ISNUMBER(G10)),'Permits and Transient Parking'!$D$10-G10,"n.a."),"n.a.")</x:f>
        <x:v>170</x:v>
      </x:c>
      <x:c r="H12" s="48" t="n">
        <x:f>IF(AND('Permits and Transient Parking'!N11="OK"),IF(AND(ISNUMBER('Permits and Transient Parking'!$D$11),ISNUMBER(H10)),'Permits and Transient Parking'!$D$11-H10,"n.a."),"n.a.")</x:f>
        <x:v>170</x:v>
      </x:c>
      <x:c r="I12" s="48" t="n">
        <x:f>IF(AND('Permits and Transient Parking'!N12="OK"),IF(AND(ISNUMBER('Permits and Transient Parking'!$D$12),ISNUMBER(I10)),'Permits and Transient Parking'!$D$12-I10,"n.a."),"n.a.")</x:f>
        <x:v>170</x:v>
      </x:c>
      <x:c r="J12" s="48" t="n">
        <x:f>IF(AND('Permits and Transient Parking'!N13="OK"),IF(AND(ISNUMBER('Permits and Transient Parking'!$D$13),ISNUMBER(J10)),'Permits and Transient Parking'!$D$13-J10,"n.a."),"n.a.")</x:f>
        <x:v>170</x:v>
      </x:c>
      <x:c r="K12" s="48" t="n">
        <x:f>IF(AND('Permits and Transient Parking'!N14="OK"),IF(AND(ISNUMBER('Permits and Transient Parking'!$D$14),ISNUMBER(K10)),'Permits and Transient Parking'!$D$14-K10,"n.a."),"n.a.")</x:f>
        <x:v>170</x:v>
      </x:c>
      <x:c r="L12" s="48" t="n">
        <x:f>IF(AND('Permits and Transient Parking'!N15="OK"),IF(AND(ISNUMBER('Permits and Transient Parking'!$D$15),ISNUMBER(L10)),'Permits and Transient Parking'!$D$15-L10,"n.a."),"n.a.")</x:f>
        <x:v>170</x:v>
      </x:c>
      <x:c r="M12" s="48" t="n">
        <x:f>IF(AND('Permits and Transient Parking'!N16="OK"),IF(AND(ISNUMBER('Permits and Transient Parking'!$D$16),ISNUMBER(M10)),'Permits and Transient Parking'!$D$16-M10,"n.a."),"n.a.")</x:f>
        <x:v>170</x:v>
      </x:c>
      <x:c r="N12" s="48" t="n">
        <x:f>IF(AND('Permits and Transient Parking'!N17="OK"),IF(AND(ISNUMBER('Permits and Transient Parking'!$D$17),ISNUMBER(N10)),'Permits and Transient Parking'!$D$17-N10,"n.a."),"n.a.")</x:f>
        <x:v>170</x:v>
      </x:c>
      <x:c r="O12" s="48" t="n">
        <x:f>IF(AND('Permits and Transient Parking'!N18="OK"),IF(AND(ISNUMBER('Permits and Transient Parking'!$D$18),ISNUMBER(O10)),'Permits and Transient Parking'!$D$18-O10,"n.a."),"n.a.")</x:f>
        <x:v>170</x:v>
      </x:c>
      <x:c r="P12" s="48" t="n">
        <x:f>IF(AND('Permits and Transient Parking'!N19="OK"),IF(AND(ISNUMBER('Permits and Transient Parking'!$D$19),ISNUMBER(P10)),'Permits and Transient Parking'!$D$19-P10,"n.a."),"n.a.")</x:f>
        <x:v>170</x:v>
      </x:c>
      <x:c r="Q12" s="48" t="n">
        <x:f>IF(AND('Permits and Transient Parking'!N20="OK"),IF(AND(ISNUMBER('Permits and Transient Parking'!$D$20),ISNUMBER(Q10)),'Permits and Transient Parking'!$D$20-Q10,"n.a."),"n.a.")</x:f>
        <x:v>170</x:v>
      </x:c>
      <x:c r="R12" s="48" t="n">
        <x:f>IF(AND('Permits and Transient Parking'!N21="OK"),IF(AND(ISNUMBER('Permits and Transient Parking'!$D$21),ISNUMBER(R10)),'Permits and Transient Parking'!$D$21-R10,"n.a."),"n.a.")</x:f>
        <x:v>170</x:v>
      </x:c>
    </x:row>
    <x:row r="13" ht="21" customHeight="1">
      <x:c r="A13" s="2"/>
      <x:c r="B13" s="2"/>
      <x:c r="C13" s="2" t="str">
        <x:v>Paid transient visits</x:v>
      </x:c>
      <x:c r="D13" s="2" t="str">
        <x:v>visits</x:v>
      </x:c>
      <x:c r="E13" s="49" t="n">
        <x:f>IF(COUNT(G13:R13)=12,SUM(G13:R13),"n.a.")</x:f>
        <x:v>78140.16</x:v>
      </x:c>
      <x:c r="F13" s="2"/>
      <x:c r="G13" s="48" t="n">
        <x:f>IF(AND('Permits and Transient Parking'!N10="OK"),IF(AND(ISNUMBER(G12),ISNUMBER('Permits and Transient Parking'!$H$10),ISNUMBER('Permits and Transient Parking'!$K$10),ISNUMBER('Permits and Transient Parking'!$J$10),ISNUMBER('Assumptions'!$D$61)),G12*'Permits and Transient Parking'!$H$10*'Permits and Transient Parking'!$K$10*MIN(1,'Permits and Transient Parking'!$J$10*'Assumptions'!$D$61),"n.a."),"n.a.")</x:f>
        <x:v>5691.599999999999</x:v>
      </x:c>
      <x:c r="H13" s="48" t="n">
        <x:f>IF(AND('Permits and Transient Parking'!N11="OK"),IF(AND(ISNUMBER(H12),ISNUMBER('Permits and Transient Parking'!$H$11),ISNUMBER('Permits and Transient Parking'!$K$11),ISNUMBER('Permits and Transient Parking'!$J$11),ISNUMBER('Assumptions'!$D$61)),H12*'Permits and Transient Parking'!$H$11*'Permits and Transient Parking'!$K$11*MIN(1,'Permits and Transient Parking'!$J$11*'Assumptions'!$D$61),"n.a."),"n.a.")</x:f>
        <x:v>6168.96</x:v>
      </x:c>
      <x:c r="I13" s="48" t="n">
        <x:f>IF(AND('Permits and Transient Parking'!N12="OK"),IF(AND(ISNUMBER(I12),ISNUMBER('Permits and Transient Parking'!$H$12),ISNUMBER('Permits and Transient Parking'!$K$12),ISNUMBER('Permits and Transient Parking'!$J$12),ISNUMBER('Assumptions'!$D$61)),I12*'Permits and Transient Parking'!$H$12*'Permits and Transient Parking'!$K$12*MIN(1,'Permits and Transient Parking'!$J$12*'Assumptions'!$D$61),"n.a."),"n.a.")</x:f>
        <x:v>6829.92</x:v>
      </x:c>
      <x:c r="J13" s="48" t="n">
        <x:f>IF(AND('Permits and Transient Parking'!N13="OK"),IF(AND(ISNUMBER(J12),ISNUMBER('Permits and Transient Parking'!$H$13),ISNUMBER('Permits and Transient Parking'!$K$13),ISNUMBER('Permits and Transient Parking'!$J$13),ISNUMBER('Assumptions'!$D$61)),J12*'Permits and Transient Parking'!$H$13*'Permits and Transient Parking'!$K$13*MIN(1,'Permits and Transient Parking'!$J$13*'Assumptions'!$D$61),"n.a."),"n.a.")</x:f>
        <x:v>6609.599999999999</x:v>
      </x:c>
      <x:c r="K13" s="48" t="n">
        <x:f>IF(AND('Permits and Transient Parking'!N14="OK"),IF(AND(ISNUMBER(K12),ISNUMBER('Permits and Transient Parking'!$H$14),ISNUMBER('Permits and Transient Parking'!$K$14),ISNUMBER('Permits and Transient Parking'!$J$14),ISNUMBER('Assumptions'!$D$61)),K12*'Permits and Transient Parking'!$H$14*'Permits and Transient Parking'!$K$14*MIN(1,'Permits and Transient Parking'!$J$14*'Assumptions'!$D$61),"n.a."),"n.a.")</x:f>
        <x:v>6829.92</x:v>
      </x:c>
      <x:c r="L13" s="48" t="n">
        <x:f>IF(AND('Permits and Transient Parking'!N15="OK"),IF(AND(ISNUMBER(L12),ISNUMBER('Permits and Transient Parking'!$H$15),ISNUMBER('Permits and Transient Parking'!$K$15),ISNUMBER('Permits and Transient Parking'!$J$15),ISNUMBER('Assumptions'!$D$61)),L12*'Permits and Transient Parking'!$H$15*'Permits and Transient Parking'!$K$15*MIN(1,'Permits and Transient Parking'!$J$15*'Assumptions'!$D$61),"n.a."),"n.a.")</x:f>
        <x:v>6609.599999999999</x:v>
      </x:c>
      <x:c r="M13" s="48" t="n">
        <x:f>IF(AND('Permits and Transient Parking'!N16="OK"),IF(AND(ISNUMBER(M12),ISNUMBER('Permits and Transient Parking'!$H$16),ISNUMBER('Permits and Transient Parking'!$K$16),ISNUMBER('Permits and Transient Parking'!$J$16),ISNUMBER('Assumptions'!$D$61)),M12*'Permits and Transient Parking'!$H$16*'Permits and Transient Parking'!$K$16*MIN(1,'Permits and Transient Parking'!$J$16*'Assumptions'!$D$61),"n.a."),"n.a.")</x:f>
        <x:v>6829.92</x:v>
      </x:c>
      <x:c r="N13" s="48" t="n">
        <x:f>IF(AND('Permits and Transient Parking'!N17="OK"),IF(AND(ISNUMBER(N12),ISNUMBER('Permits and Transient Parking'!$H$17),ISNUMBER('Permits and Transient Parking'!$K$17),ISNUMBER('Permits and Transient Parking'!$J$17),ISNUMBER('Assumptions'!$D$61)),N12*'Permits and Transient Parking'!$H$17*'Permits and Transient Parking'!$K$17*MIN(1,'Permits and Transient Parking'!$J$17*'Assumptions'!$D$61),"n.a."),"n.a.")</x:f>
        <x:v>6829.92</x:v>
      </x:c>
      <x:c r="O13" s="48" t="n">
        <x:f>IF(AND('Permits and Transient Parking'!N18="OK"),IF(AND(ISNUMBER(O12),ISNUMBER('Permits and Transient Parking'!$H$18),ISNUMBER('Permits and Transient Parking'!$K$18),ISNUMBER('Permits and Transient Parking'!$J$18),ISNUMBER('Assumptions'!$D$61)),O12*'Permits and Transient Parking'!$H$18*'Permits and Transient Parking'!$K$18*MIN(1,'Permits and Transient Parking'!$J$18*'Assumptions'!$D$61),"n.a."),"n.a.")</x:f>
        <x:v>6609.599999999999</x:v>
      </x:c>
      <x:c r="P13" s="48" t="n">
        <x:f>IF(AND('Permits and Transient Parking'!N19="OK"),IF(AND(ISNUMBER(P12),ISNUMBER('Permits and Transient Parking'!$H$19),ISNUMBER('Permits and Transient Parking'!$K$19),ISNUMBER('Permits and Transient Parking'!$J$19),ISNUMBER('Assumptions'!$D$61)),P12*'Permits and Transient Parking'!$H$19*'Permits and Transient Parking'!$K$19*MIN(1,'Permits and Transient Parking'!$J$19*'Assumptions'!$D$61),"n.a."),"n.a.")</x:f>
        <x:v>6829.92</x:v>
      </x:c>
      <x:c r="Q13" s="48" t="n">
        <x:f>IF(AND('Permits and Transient Parking'!N20="OK"),IF(AND(ISNUMBER(Q12),ISNUMBER('Permits and Transient Parking'!$H$20),ISNUMBER('Permits and Transient Parking'!$K$20),ISNUMBER('Permits and Transient Parking'!$J$20),ISNUMBER('Assumptions'!$D$61)),Q12*'Permits and Transient Parking'!$H$20*'Permits and Transient Parking'!$K$20*MIN(1,'Permits and Transient Parking'!$J$20*'Assumptions'!$D$61),"n.a."),"n.a.")</x:f>
        <x:v>6609.599999999999</x:v>
      </x:c>
      <x:c r="R13" s="48" t="n">
        <x:f>IF(AND('Permits and Transient Parking'!N21="OK"),IF(AND(ISNUMBER(R12),ISNUMBER('Permits and Transient Parking'!$H$21),ISNUMBER('Permits and Transient Parking'!$K$21),ISNUMBER('Permits and Transient Parking'!$J$21),ISNUMBER('Assumptions'!$D$61)),R12*'Permits and Transient Parking'!$H$21*'Permits and Transient Parking'!$K$21*MIN(1,'Permits and Transient Parking'!$J$21*'Assumptions'!$D$61),"n.a."),"n.a.")</x:f>
        <x:v>5691.599999999999</x:v>
      </x:c>
    </x:row>
    <x:row r="14" ht="21" customHeight="1">
      <x:c r="A14" s="2"/>
      <x:c r="B14" s="2"/>
      <x:c r="C14" s="2" t="str">
        <x:v>Monthly permit collections</x:v>
      </x:c>
      <x:c r="D14" s="2" t="str">
        <x:v>USD</x:v>
      </x:c>
      <x:c r="E14" s="52" t="n">
        <x:f>IF(COUNT(G14:R14)=12,SUM(G14:R14),"n.a.")</x:f>
        <x:v>271283.99999999994</x:v>
      </x:c>
      <x:c r="F14" s="2"/>
      <x:c r="G14" s="51" t="n">
        <x:f>IF(AND('Permits and Transient Parking'!N10="OK"),IF(AND(ISNUMBER(G11),ISNUMBER('Permits and Transient Parking'!$G$10),ISNUMBER('Assumptions'!$D$64)),G11*'Permits and Transient Parking'!$G$10*'Assumptions'!$D$64,"n.a."),"n.a.")</x:f>
        <x:v>22606.999999999996</x:v>
      </x:c>
      <x:c r="H14" s="51" t="n">
        <x:f>IF(AND('Permits and Transient Parking'!N11="OK"),IF(AND(ISNUMBER(H11),ISNUMBER('Permits and Transient Parking'!$G$11),ISNUMBER('Assumptions'!$D$64)),H11*'Permits and Transient Parking'!$G$11*'Assumptions'!$D$64,"n.a."),"n.a.")</x:f>
        <x:v>22606.999999999996</x:v>
      </x:c>
      <x:c r="I14" s="51" t="n">
        <x:f>IF(AND('Permits and Transient Parking'!N12="OK"),IF(AND(ISNUMBER(I11),ISNUMBER('Permits and Transient Parking'!$G$12),ISNUMBER('Assumptions'!$D$64)),I11*'Permits and Transient Parking'!$G$12*'Assumptions'!$D$64,"n.a."),"n.a.")</x:f>
        <x:v>22606.999999999996</x:v>
      </x:c>
      <x:c r="J14" s="51" t="n">
        <x:f>IF(AND('Permits and Transient Parking'!N13="OK"),IF(AND(ISNUMBER(J11),ISNUMBER('Permits and Transient Parking'!$G$13),ISNUMBER('Assumptions'!$D$64)),J11*'Permits and Transient Parking'!$G$13*'Assumptions'!$D$64,"n.a."),"n.a.")</x:f>
        <x:v>22606.999999999996</x:v>
      </x:c>
      <x:c r="K14" s="51" t="n">
        <x:f>IF(AND('Permits and Transient Parking'!N14="OK"),IF(AND(ISNUMBER(K11),ISNUMBER('Permits and Transient Parking'!$G$14),ISNUMBER('Assumptions'!$D$64)),K11*'Permits and Transient Parking'!$G$14*'Assumptions'!$D$64,"n.a."),"n.a.")</x:f>
        <x:v>22606.999999999996</x:v>
      </x:c>
      <x:c r="L14" s="51" t="n">
        <x:f>IF(AND('Permits and Transient Parking'!N15="OK"),IF(AND(ISNUMBER(L11),ISNUMBER('Permits and Transient Parking'!$G$15),ISNUMBER('Assumptions'!$D$64)),L11*'Permits and Transient Parking'!$G$15*'Assumptions'!$D$64,"n.a."),"n.a.")</x:f>
        <x:v>22606.999999999996</x:v>
      </x:c>
      <x:c r="M14" s="51" t="n">
        <x:f>IF(AND('Permits and Transient Parking'!N16="OK"),IF(AND(ISNUMBER(M11),ISNUMBER('Permits and Transient Parking'!$G$16),ISNUMBER('Assumptions'!$D$64)),M11*'Permits and Transient Parking'!$G$16*'Assumptions'!$D$64,"n.a."),"n.a.")</x:f>
        <x:v>22606.999999999996</x:v>
      </x:c>
      <x:c r="N14" s="51" t="n">
        <x:f>IF(AND('Permits and Transient Parking'!N17="OK"),IF(AND(ISNUMBER(N11),ISNUMBER('Permits and Transient Parking'!$G$17),ISNUMBER('Assumptions'!$D$64)),N11*'Permits and Transient Parking'!$G$17*'Assumptions'!$D$64,"n.a."),"n.a.")</x:f>
        <x:v>22606.999999999996</x:v>
      </x:c>
      <x:c r="O14" s="51" t="n">
        <x:f>IF(AND('Permits and Transient Parking'!N18="OK"),IF(AND(ISNUMBER(O11),ISNUMBER('Permits and Transient Parking'!$G$18),ISNUMBER('Assumptions'!$D$64)),O11*'Permits and Transient Parking'!$G$18*'Assumptions'!$D$64,"n.a."),"n.a.")</x:f>
        <x:v>22606.999999999996</x:v>
      </x:c>
      <x:c r="P14" s="51" t="n">
        <x:f>IF(AND('Permits and Transient Parking'!N19="OK"),IF(AND(ISNUMBER(P11),ISNUMBER('Permits and Transient Parking'!$G$19),ISNUMBER('Assumptions'!$D$64)),P11*'Permits and Transient Parking'!$G$19*'Assumptions'!$D$64,"n.a."),"n.a.")</x:f>
        <x:v>22606.999999999996</x:v>
      </x:c>
      <x:c r="Q14" s="51" t="n">
        <x:f>IF(AND('Permits and Transient Parking'!N20="OK"),IF(AND(ISNUMBER(Q11),ISNUMBER('Permits and Transient Parking'!$G$20),ISNUMBER('Assumptions'!$D$64)),Q11*'Permits and Transient Parking'!$G$20*'Assumptions'!$D$64,"n.a."),"n.a.")</x:f>
        <x:v>22606.999999999996</x:v>
      </x:c>
      <x:c r="R14" s="51" t="n">
        <x:f>IF(AND('Permits and Transient Parking'!N21="OK"),IF(AND(ISNUMBER(R11),ISNUMBER('Permits and Transient Parking'!$G$21),ISNUMBER('Assumptions'!$D$64)),R11*'Permits and Transient Parking'!$G$21*'Assumptions'!$D$64,"n.a."),"n.a.")</x:f>
        <x:v>22606.999999999996</x:v>
      </x:c>
    </x:row>
    <x:row r="15" ht="21" customHeight="1">
      <x:c r="A15" s="2"/>
      <x:c r="B15" s="2"/>
      <x:c r="C15" s="2" t="str">
        <x:v>Transient parking collections</x:v>
      </x:c>
      <x:c r="D15" s="2" t="str">
        <x:v>USD</x:v>
      </x:c>
      <x:c r="E15" s="52" t="n">
        <x:f>IF(COUNT(G15:R15)=12,SUM(G15:R15),"n.a.")</x:f>
        <x:v>898611.8400000001</x:v>
      </x:c>
      <x:c r="F15" s="2"/>
      <x:c r="G15" s="51" t="n">
        <x:f>IF(AND('Permits and Transient Parking'!N10="OK"),IF(AND(ISNUMBER(G13),ISNUMBER('Permits and Transient Parking'!$I$10),ISNUMBER('Assumptions'!$D$64)),G13*'Permits and Transient Parking'!$I$10*'Assumptions'!$D$64,"n.a."),"n.a.")</x:f>
        <x:v>65453.399999999994</x:v>
      </x:c>
      <x:c r="H15" s="51" t="n">
        <x:f>IF(AND('Permits and Transient Parking'!N11="OK"),IF(AND(ISNUMBER(H13),ISNUMBER('Permits and Transient Parking'!$I$11),ISNUMBER('Assumptions'!$D$64)),H13*'Permits and Transient Parking'!$I$11*'Assumptions'!$D$64,"n.a."),"n.a.")</x:f>
        <x:v>70943.04</x:v>
      </x:c>
      <x:c r="I15" s="51" t="n">
        <x:f>IF(AND('Permits and Transient Parking'!N12="OK"),IF(AND(ISNUMBER(I13),ISNUMBER('Permits and Transient Parking'!$I$12),ISNUMBER('Assumptions'!$D$64)),I13*'Permits and Transient Parking'!$I$12*'Assumptions'!$D$64,"n.a."),"n.a.")</x:f>
        <x:v>78544.08</x:v>
      </x:c>
      <x:c r="J15" s="51" t="n">
        <x:f>IF(AND('Permits and Transient Parking'!N13="OK"),IF(AND(ISNUMBER(J13),ISNUMBER('Permits and Transient Parking'!$I$13),ISNUMBER('Assumptions'!$D$64)),J13*'Permits and Transient Parking'!$I$13*'Assumptions'!$D$64,"n.a."),"n.a.")</x:f>
        <x:v>76010.4</x:v>
      </x:c>
      <x:c r="K15" s="51" t="n">
        <x:f>IF(AND('Permits and Transient Parking'!N14="OK"),IF(AND(ISNUMBER(K13),ISNUMBER('Permits and Transient Parking'!$I$14),ISNUMBER('Assumptions'!$D$64)),K13*'Permits and Transient Parking'!$I$14*'Assumptions'!$D$64,"n.a."),"n.a.")</x:f>
        <x:v>78544.08</x:v>
      </x:c>
      <x:c r="L15" s="51" t="n">
        <x:f>IF(AND('Permits and Transient Parking'!N15="OK"),IF(AND(ISNUMBER(L13),ISNUMBER('Permits and Transient Parking'!$I$15),ISNUMBER('Assumptions'!$D$64)),L13*'Permits and Transient Parking'!$I$15*'Assumptions'!$D$64,"n.a."),"n.a.")</x:f>
        <x:v>76010.4</x:v>
      </x:c>
      <x:c r="M15" s="51" t="n">
        <x:f>IF(AND('Permits and Transient Parking'!N16="OK"),IF(AND(ISNUMBER(M13),ISNUMBER('Permits and Transient Parking'!$I$16),ISNUMBER('Assumptions'!$D$64)),M13*'Permits and Transient Parking'!$I$16*'Assumptions'!$D$64,"n.a."),"n.a.")</x:f>
        <x:v>78544.08</x:v>
      </x:c>
      <x:c r="N15" s="51" t="n">
        <x:f>IF(AND('Permits and Transient Parking'!N17="OK"),IF(AND(ISNUMBER(N13),ISNUMBER('Permits and Transient Parking'!$I$17),ISNUMBER('Assumptions'!$D$64)),N13*'Permits and Transient Parking'!$I$17*'Assumptions'!$D$64,"n.a."),"n.a.")</x:f>
        <x:v>78544.08</x:v>
      </x:c>
      <x:c r="O15" s="51" t="n">
        <x:f>IF(AND('Permits and Transient Parking'!N18="OK"),IF(AND(ISNUMBER(O13),ISNUMBER('Permits and Transient Parking'!$I$18),ISNUMBER('Assumptions'!$D$64)),O13*'Permits and Transient Parking'!$I$18*'Assumptions'!$D$64,"n.a."),"n.a.")</x:f>
        <x:v>76010.4</x:v>
      </x:c>
      <x:c r="P15" s="51" t="n">
        <x:f>IF(AND('Permits and Transient Parking'!N19="OK"),IF(AND(ISNUMBER(P13),ISNUMBER('Permits and Transient Parking'!$I$19),ISNUMBER('Assumptions'!$D$64)),P13*'Permits and Transient Parking'!$I$19*'Assumptions'!$D$64,"n.a."),"n.a.")</x:f>
        <x:v>78544.08</x:v>
      </x:c>
      <x:c r="Q15" s="51" t="n">
        <x:f>IF(AND('Permits and Transient Parking'!N20="OK"),IF(AND(ISNUMBER(Q13),ISNUMBER('Permits and Transient Parking'!$I$20),ISNUMBER('Assumptions'!$D$64)),Q13*'Permits and Transient Parking'!$I$20*'Assumptions'!$D$64,"n.a."),"n.a.")</x:f>
        <x:v>76010.4</x:v>
      </x:c>
      <x:c r="R15" s="51" t="n">
        <x:f>IF(AND('Permits and Transient Parking'!N21="OK"),IF(AND(ISNUMBER(R13),ISNUMBER('Permits and Transient Parking'!$I$21),ISNUMBER('Assumptions'!$D$64)),R13*'Permits and Transient Parking'!$I$21*'Assumptions'!$D$64,"n.a."),"n.a.")</x:f>
        <x:v>65453.399999999994</x:v>
      </x:c>
    </x:row>
    <x:row r="16" ht="21" customHeight="1">
      <x:c r="A16" s="2"/>
      <x:c r="B16" s="2"/>
      <x:c r="C16" s="56" t="str">
        <x:v>Permit and transient cash receipts</x:v>
      </x:c>
      <x:c r="D16" s="56" t="str">
        <x:v>USD</x:v>
      </x:c>
      <x:c r="E16" s="57" t="n">
        <x:f>IF(COUNT(G16:R16)=12,SUM(G16:R16),"n.a.")</x:f>
        <x:v>1169895.8399999999</x:v>
      </x:c>
      <x:c r="F16" s="56"/>
      <x:c r="G16" s="57" t="n">
        <x:f>IF(AND(ISNUMBER(G14),ISNUMBER(G15)),G14+G15,"n.a.")</x:f>
        <x:v>88060.4</x:v>
      </x:c>
      <x:c r="H16" s="57" t="n">
        <x:f>IF(AND(ISNUMBER(H14),ISNUMBER(H15)),H14+H15,"n.a.")</x:f>
        <x:v>93550.04</x:v>
      </x:c>
      <x:c r="I16" s="57" t="n">
        <x:f>IF(AND(ISNUMBER(I14),ISNUMBER(I15)),I14+I15,"n.a.")</x:f>
        <x:v>101151.08</x:v>
      </x:c>
      <x:c r="J16" s="57" t="n">
        <x:f>IF(AND(ISNUMBER(J14),ISNUMBER(J15)),J14+J15,"n.a.")</x:f>
        <x:v>98617.4</x:v>
      </x:c>
      <x:c r="K16" s="57" t="n">
        <x:f>IF(AND(ISNUMBER(K14),ISNUMBER(K15)),K14+K15,"n.a.")</x:f>
        <x:v>101151.08</x:v>
      </x:c>
      <x:c r="L16" s="57" t="n">
        <x:f>IF(AND(ISNUMBER(L14),ISNUMBER(L15)),L14+L15,"n.a.")</x:f>
        <x:v>98617.4</x:v>
      </x:c>
      <x:c r="M16" s="57" t="n">
        <x:f>IF(AND(ISNUMBER(M14),ISNUMBER(M15)),M14+M15,"n.a.")</x:f>
        <x:v>101151.08</x:v>
      </x:c>
      <x:c r="N16" s="57" t="n">
        <x:f>IF(AND(ISNUMBER(N14),ISNUMBER(N15)),N14+N15,"n.a.")</x:f>
        <x:v>101151.08</x:v>
      </x:c>
      <x:c r="O16" s="57" t="n">
        <x:f>IF(AND(ISNUMBER(O14),ISNUMBER(O15)),O14+O15,"n.a.")</x:f>
        <x:v>98617.4</x:v>
      </x:c>
      <x:c r="P16" s="57" t="n">
        <x:f>IF(AND(ISNUMBER(P14),ISNUMBER(P15)),P14+P15,"n.a.")</x:f>
        <x:v>101151.08</x:v>
      </x:c>
      <x:c r="Q16" s="57" t="n">
        <x:f>IF(AND(ISNUMBER(Q14),ISNUMBER(Q15)),Q14+Q15,"n.a.")</x:f>
        <x:v>98617.4</x:v>
      </x:c>
      <x:c r="R16" s="57" t="n">
        <x:f>IF(AND(ISNUMBER(R14),ISNUMBER(R15)),R14+R15,"n.a.")</x:f>
        <x:v>88060.4</x:v>
      </x:c>
    </x:row>
    <x:row r="17" ht="21" customHeight="1">
      <x:c r="A17" s="2"/>
      <x:c r="B17" s="2"/>
      <x:c r="C17" s="2" t="str">
        <x:v>Operator fee and transaction servicing</x:v>
      </x:c>
      <x:c r="D17" s="2" t="str">
        <x:v>USD</x:v>
      </x:c>
      <x:c r="E17" s="52" t="n">
        <x:f>IF(COUNT(G17:R17)=12,SUM(G17:R17),"n.a.")</x:f>
        <x:v>176042.76480000003</x:v>
      </x:c>
      <x:c r="F17" s="2"/>
      <x:c r="G17" s="51" t="n">
        <x:f>IF(AND('Permits and Transient Parking'!N10="OK"),IF(AND(ISNUMBER(G16),ISNUMBER('Permits and Transient Parking'!$L$10),ISNUMBER(G13),ISNUMBER('Assumptions'!$D$73),ISNUMBER(G11),ISNUMBER('Assumptions'!$D$76),ISNUMBER('Assumptions'!$D$67)),(G16*'Permits and Transient Parking'!$L$10+G13*'Assumptions'!$D$73+G11*'Assumptions'!$D$76)*'Assumptions'!$D$67,"n.a."),"n.a.")</x:f>
        <x:v>13210.488</x:v>
      </x:c>
      <x:c r="H17" s="51" t="n">
        <x:f>IF(AND('Permits and Transient Parking'!N11="OK"),IF(AND(ISNUMBER(H16),ISNUMBER('Permits and Transient Parking'!$L$11),ISNUMBER(H13),ISNUMBER('Assumptions'!$D$73),ISNUMBER(H11),ISNUMBER('Assumptions'!$D$76),ISNUMBER('Assumptions'!$D$67)),(H16*'Permits and Transient Parking'!$L$11+H13*'Assumptions'!$D$73+H11*'Assumptions'!$D$76)*'Assumptions'!$D$67,"n.a."),"n.a.")</x:f>
        <x:v>14060.1888</x:v>
      </x:c>
      <x:c r="I17" s="51" t="n">
        <x:f>IF(AND('Permits and Transient Parking'!N12="OK"),IF(AND(ISNUMBER(I16),ISNUMBER('Permits and Transient Parking'!$L$12),ISNUMBER(I13),ISNUMBER('Assumptions'!$D$73),ISNUMBER(I11),ISNUMBER('Assumptions'!$D$76),ISNUMBER('Assumptions'!$D$67)),(I16*'Permits and Transient Parking'!$L$12+I13*'Assumptions'!$D$73+I11*'Assumptions'!$D$76)*'Assumptions'!$D$67,"n.a."),"n.a.")</x:f>
        <x:v>15236.697600000001</x:v>
      </x:c>
      <x:c r="J17" s="51" t="n">
        <x:f>IF(AND('Permits and Transient Parking'!N13="OK"),IF(AND(ISNUMBER(J16),ISNUMBER('Permits and Transient Parking'!$L$13),ISNUMBER(J13),ISNUMBER('Assumptions'!$D$73),ISNUMBER(J11),ISNUMBER('Assumptions'!$D$76),ISNUMBER('Assumptions'!$D$67)),(J16*'Permits and Transient Parking'!$L$13+J13*'Assumptions'!$D$73+J11*'Assumptions'!$D$76)*'Assumptions'!$D$67,"n.a."),"n.a.")</x:f>
        <x:v>14844.528</x:v>
      </x:c>
      <x:c r="K17" s="51" t="n">
        <x:f>IF(AND('Permits and Transient Parking'!N14="OK"),IF(AND(ISNUMBER(K16),ISNUMBER('Permits and Transient Parking'!$L$14),ISNUMBER(K13),ISNUMBER('Assumptions'!$D$73),ISNUMBER(K11),ISNUMBER('Assumptions'!$D$76),ISNUMBER('Assumptions'!$D$67)),(K16*'Permits and Transient Parking'!$L$14+K13*'Assumptions'!$D$73+K11*'Assumptions'!$D$76)*'Assumptions'!$D$67,"n.a."),"n.a.")</x:f>
        <x:v>15236.697600000001</x:v>
      </x:c>
      <x:c r="L17" s="51" t="n">
        <x:f>IF(AND('Permits and Transient Parking'!N15="OK"),IF(AND(ISNUMBER(L16),ISNUMBER('Permits and Transient Parking'!$L$15),ISNUMBER(L13),ISNUMBER('Assumptions'!$D$73),ISNUMBER(L11),ISNUMBER('Assumptions'!$D$76),ISNUMBER('Assumptions'!$D$67)),(L16*'Permits and Transient Parking'!$L$15+L13*'Assumptions'!$D$73+L11*'Assumptions'!$D$76)*'Assumptions'!$D$67,"n.a."),"n.a.")</x:f>
        <x:v>14844.528</x:v>
      </x:c>
      <x:c r="M17" s="51" t="n">
        <x:f>IF(AND('Permits and Transient Parking'!N16="OK"),IF(AND(ISNUMBER(M16),ISNUMBER('Permits and Transient Parking'!$L$16),ISNUMBER(M13),ISNUMBER('Assumptions'!$D$73),ISNUMBER(M11),ISNUMBER('Assumptions'!$D$76),ISNUMBER('Assumptions'!$D$67)),(M16*'Permits and Transient Parking'!$L$16+M13*'Assumptions'!$D$73+M11*'Assumptions'!$D$76)*'Assumptions'!$D$67,"n.a."),"n.a.")</x:f>
        <x:v>15236.697600000001</x:v>
      </x:c>
      <x:c r="N17" s="51" t="n">
        <x:f>IF(AND('Permits and Transient Parking'!N17="OK"),IF(AND(ISNUMBER(N16),ISNUMBER('Permits and Transient Parking'!$L$17),ISNUMBER(N13),ISNUMBER('Assumptions'!$D$73),ISNUMBER(N11),ISNUMBER('Assumptions'!$D$76),ISNUMBER('Assumptions'!$D$67)),(N16*'Permits and Transient Parking'!$L$17+N13*'Assumptions'!$D$73+N11*'Assumptions'!$D$76)*'Assumptions'!$D$67,"n.a."),"n.a.")</x:f>
        <x:v>15236.697600000001</x:v>
      </x:c>
      <x:c r="O17" s="51" t="n">
        <x:f>IF(AND('Permits and Transient Parking'!N18="OK"),IF(AND(ISNUMBER(O16),ISNUMBER('Permits and Transient Parking'!$L$18),ISNUMBER(O13),ISNUMBER('Assumptions'!$D$73),ISNUMBER(O11),ISNUMBER('Assumptions'!$D$76),ISNUMBER('Assumptions'!$D$67)),(O16*'Permits and Transient Parking'!$L$18+O13*'Assumptions'!$D$73+O11*'Assumptions'!$D$76)*'Assumptions'!$D$67,"n.a."),"n.a.")</x:f>
        <x:v>14844.528</x:v>
      </x:c>
      <x:c r="P17" s="51" t="n">
        <x:f>IF(AND('Permits and Transient Parking'!N19="OK"),IF(AND(ISNUMBER(P16),ISNUMBER('Permits and Transient Parking'!$L$19),ISNUMBER(P13),ISNUMBER('Assumptions'!$D$73),ISNUMBER(P11),ISNUMBER('Assumptions'!$D$76),ISNUMBER('Assumptions'!$D$67)),(P16*'Permits and Transient Parking'!$L$19+P13*'Assumptions'!$D$73+P11*'Assumptions'!$D$76)*'Assumptions'!$D$67,"n.a."),"n.a.")</x:f>
        <x:v>15236.697600000001</x:v>
      </x:c>
      <x:c r="Q17" s="51" t="n">
        <x:f>IF(AND('Permits and Transient Parking'!N20="OK"),IF(AND(ISNUMBER(Q16),ISNUMBER('Permits and Transient Parking'!$L$20),ISNUMBER(Q13),ISNUMBER('Assumptions'!$D$73),ISNUMBER(Q11),ISNUMBER('Assumptions'!$D$76),ISNUMBER('Assumptions'!$D$67)),(Q16*'Permits and Transient Parking'!$L$20+Q13*'Assumptions'!$D$73+Q11*'Assumptions'!$D$76)*'Assumptions'!$D$67,"n.a."),"n.a.")</x:f>
        <x:v>14844.528</x:v>
      </x:c>
      <x:c r="R17" s="51" t="n">
        <x:f>IF(AND('Permits and Transient Parking'!N21="OK"),IF(AND(ISNUMBER(R16),ISNUMBER('Permits and Transient Parking'!$L$21),ISNUMBER(R13),ISNUMBER('Assumptions'!$D$73),ISNUMBER(R11),ISNUMBER('Assumptions'!$D$76),ISNUMBER('Assumptions'!$D$67)),(R16*'Permits and Transient Parking'!$L$21+R13*'Assumptions'!$D$73+R11*'Assumptions'!$D$76)*'Assumptions'!$D$67,"n.a."),"n.a.")</x:f>
        <x:v>13210.488</x:v>
      </x:c>
    </x:row>
    <x:row r="18" ht="21" customHeight="1">
      <x:c r="A18" s="2"/>
      <x:c r="B18" s="2"/>
      <x:c r="C18" s="2" t="str">
        <x:v>Structure, surface and equipment capital</x:v>
      </x:c>
      <x:c r="D18" s="2" t="str">
        <x:v>USD</x:v>
      </x:c>
      <x:c r="E18" s="52" t="n">
        <x:f>IF(COUNT(G18:R18)=12,SUM(G18:R18),"n.a.")</x:f>
        <x:v>187500</x:v>
      </x:c>
      <x:c r="F18" s="2"/>
      <x:c r="G18" s="51" t="n">
        <x:f>IF(AND('Permits and Transient Parking'!N10="OK"),IF(AND(ISNUMBER('Permits and Transient Parking'!$M$10),ISNUMBER('Assumptions'!$D$70)),'Permits and Transient Parking'!$M$10*'Assumptions'!$D$70,"n.a."),"n.a.")</x:f>
        <x:v>2500</x:v>
      </x:c>
      <x:c r="H18" s="51" t="n">
        <x:f>IF(AND('Permits and Transient Parking'!N11="OK"),IF(AND(ISNUMBER('Permits and Transient Parking'!$M$11),ISNUMBER('Assumptions'!$D$70)),'Permits and Transient Parking'!$M$11*'Assumptions'!$D$70,"n.a."),"n.a.")</x:f>
        <x:v>2500</x:v>
      </x:c>
      <x:c r="I18" s="51" t="n">
        <x:f>IF(AND('Permits and Transient Parking'!N12="OK"),IF(AND(ISNUMBER('Permits and Transient Parking'!$M$12),ISNUMBER('Assumptions'!$D$70)),'Permits and Transient Parking'!$M$12*'Assumptions'!$D$70,"n.a."),"n.a.")</x:f>
        <x:v>2500</x:v>
      </x:c>
      <x:c r="J18" s="51" t="n">
        <x:f>IF(AND('Permits and Transient Parking'!N13="OK"),IF(AND(ISNUMBER('Permits and Transient Parking'!$M$13),ISNUMBER('Assumptions'!$D$70)),'Permits and Transient Parking'!$M$13*'Assumptions'!$D$70,"n.a."),"n.a.")</x:f>
        <x:v>2500</x:v>
      </x:c>
      <x:c r="K18" s="51" t="n">
        <x:f>IF(AND('Permits and Transient Parking'!N14="OK"),IF(AND(ISNUMBER('Permits and Transient Parking'!$M$14),ISNUMBER('Assumptions'!$D$70)),'Permits and Transient Parking'!$M$14*'Assumptions'!$D$70,"n.a."),"n.a.")</x:f>
        <x:v>2500</x:v>
      </x:c>
      <x:c r="L18" s="51" t="n">
        <x:f>IF(AND('Permits and Transient Parking'!N15="OK"),IF(AND(ISNUMBER('Permits and Transient Parking'!$M$15),ISNUMBER('Assumptions'!$D$70)),'Permits and Transient Parking'!$M$15*'Assumptions'!$D$70,"n.a."),"n.a.")</x:f>
        <x:v>2500</x:v>
      </x:c>
      <x:c r="M18" s="51" t="n">
        <x:f>IF(AND('Permits and Transient Parking'!N16="OK"),IF(AND(ISNUMBER('Permits and Transient Parking'!$M$16),ISNUMBER('Assumptions'!$D$70)),'Permits and Transient Parking'!$M$16*'Assumptions'!$D$70,"n.a."),"n.a.")</x:f>
        <x:v>160000</x:v>
      </x:c>
      <x:c r="N18" s="51" t="n">
        <x:f>IF(AND('Permits and Transient Parking'!N17="OK"),IF(AND(ISNUMBER('Permits and Transient Parking'!$M$17),ISNUMBER('Assumptions'!$D$70)),'Permits and Transient Parking'!$M$17*'Assumptions'!$D$70,"n.a."),"n.a.")</x:f>
        <x:v>2500</x:v>
      </x:c>
      <x:c r="O18" s="51" t="n">
        <x:f>IF(AND('Permits and Transient Parking'!N18="OK"),IF(AND(ISNUMBER('Permits and Transient Parking'!$M$18),ISNUMBER('Assumptions'!$D$70)),'Permits and Transient Parking'!$M$18*'Assumptions'!$D$70,"n.a."),"n.a.")</x:f>
        <x:v>2500</x:v>
      </x:c>
      <x:c r="P18" s="51" t="n">
        <x:f>IF(AND('Permits and Transient Parking'!N19="OK"),IF(AND(ISNUMBER('Permits and Transient Parking'!$M$19),ISNUMBER('Assumptions'!$D$70)),'Permits and Transient Parking'!$M$19*'Assumptions'!$D$70,"n.a."),"n.a.")</x:f>
        <x:v>2500</x:v>
      </x:c>
      <x:c r="Q18" s="51" t="n">
        <x:f>IF(AND('Permits and Transient Parking'!N20="OK"),IF(AND(ISNUMBER('Permits and Transient Parking'!$M$20),ISNUMBER('Assumptions'!$D$70)),'Permits and Transient Parking'!$M$20*'Assumptions'!$D$70,"n.a."),"n.a.")</x:f>
        <x:v>2500</x:v>
      </x:c>
      <x:c r="R18" s="51" t="n">
        <x:f>IF(AND('Permits and Transient Parking'!N21="OK"),IF(AND(ISNUMBER('Permits and Transient Parking'!$M$21),ISNUMBER('Assumptions'!$D$70)),'Permits and Transient Parking'!$M$21*'Assumptions'!$D$70,"n.a."),"n.a.")</x:f>
        <x:v>2500</x:v>
      </x:c>
    </x:row>
    <x:row r="19" ht="21" customHeight="1">
      <x:c r="A19" s="2"/>
      <x:c r="B19" s="2"/>
      <x:c r="C19" s="2" t="str">
        <x:v>Fixed property / entity costs</x:v>
      </x:c>
      <x:c r="D19" s="2" t="str">
        <x:v>USD</x:v>
      </x:c>
      <x:c r="E19" s="52" t="n">
        <x:f>IF(COUNT(G19:R19)=12,SUM(G19:R19),"n.a.")</x:f>
        <x:v>210000</x:v>
      </x:c>
      <x:c r="F19" s="2"/>
      <x:c r="G19" s="51" t="n">
        <x:f>IF(AND(ISNUMBER('Assumptions'!$D$55)),'Assumptions'!$D$55/12,"n.a.")</x:f>
        <x:v>17500</x:v>
      </x:c>
      <x:c r="H19" s="51" t="n">
        <x:f>IF(AND(ISNUMBER('Assumptions'!$D$55)),'Assumptions'!$D$55/12,"n.a.")</x:f>
        <x:v>17500</x:v>
      </x:c>
      <x:c r="I19" s="51" t="n">
        <x:f>IF(AND(ISNUMBER('Assumptions'!$D$55)),'Assumptions'!$D$55/12,"n.a.")</x:f>
        <x:v>17500</x:v>
      </x:c>
      <x:c r="J19" s="51" t="n">
        <x:f>IF(AND(ISNUMBER('Assumptions'!$D$55)),'Assumptions'!$D$55/12,"n.a.")</x:f>
        <x:v>17500</x:v>
      </x:c>
      <x:c r="K19" s="51" t="n">
        <x:f>IF(AND(ISNUMBER('Assumptions'!$D$55)),'Assumptions'!$D$55/12,"n.a.")</x:f>
        <x:v>17500</x:v>
      </x:c>
      <x:c r="L19" s="51" t="n">
        <x:f>IF(AND(ISNUMBER('Assumptions'!$D$55)),'Assumptions'!$D$55/12,"n.a.")</x:f>
        <x:v>17500</x:v>
      </x:c>
      <x:c r="M19" s="51" t="n">
        <x:f>IF(AND(ISNUMBER('Assumptions'!$D$55)),'Assumptions'!$D$55/12,"n.a.")</x:f>
        <x:v>17500</x:v>
      </x:c>
      <x:c r="N19" s="51" t="n">
        <x:f>IF(AND(ISNUMBER('Assumptions'!$D$55)),'Assumptions'!$D$55/12,"n.a.")</x:f>
        <x:v>17500</x:v>
      </x:c>
      <x:c r="O19" s="51" t="n">
        <x:f>IF(AND(ISNUMBER('Assumptions'!$D$55)),'Assumptions'!$D$55/12,"n.a.")</x:f>
        <x:v>17500</x:v>
      </x:c>
      <x:c r="P19" s="51" t="n">
        <x:f>IF(AND(ISNUMBER('Assumptions'!$D$55)),'Assumptions'!$D$55/12,"n.a.")</x:f>
        <x:v>17500</x:v>
      </x:c>
      <x:c r="Q19" s="51" t="n">
        <x:f>IF(AND(ISNUMBER('Assumptions'!$D$55)),'Assumptions'!$D$55/12,"n.a.")</x:f>
        <x:v>17500</x:v>
      </x:c>
      <x:c r="R19" s="51" t="n">
        <x:f>IF(AND(ISNUMBER('Assumptions'!$D$55)),'Assumptions'!$D$55/12,"n.a.")</x:f>
        <x:v>17500</x:v>
      </x:c>
    </x:row>
    <x:row r="20" ht="21" customHeight="1">
      <x:c r="A20" s="2"/>
      <x:c r="B20" s="2"/>
      <x:c r="C20" s="56" t="str">
        <x:v>Total cash operating costs</x:v>
      </x:c>
      <x:c r="D20" s="56" t="str">
        <x:v>USD</x:v>
      </x:c>
      <x:c r="E20" s="57" t="n">
        <x:f>IF(COUNT(G20:R20)=12,SUM(G20:R20),"n.a.")</x:f>
        <x:v>386042.7648</x:v>
      </x:c>
      <x:c r="F20" s="56"/>
      <x:c r="G20" s="57" t="n">
        <x:f>IF(AND(ISNUMBER(G17),ISNUMBER(G19)),G17+G19,"n.a.")</x:f>
        <x:v>30710.487999999998</x:v>
      </x:c>
      <x:c r="H20" s="57" t="n">
        <x:f>IF(AND(ISNUMBER(H17),ISNUMBER(H19)),H17+H19,"n.a.")</x:f>
        <x:v>31560.1888</x:v>
      </x:c>
      <x:c r="I20" s="57" t="n">
        <x:f>IF(AND(ISNUMBER(I17),ISNUMBER(I19)),I17+I19,"n.a.")</x:f>
        <x:v>32736.6976</x:v>
      </x:c>
      <x:c r="J20" s="57" t="n">
        <x:f>IF(AND(ISNUMBER(J17),ISNUMBER(J19)),J17+J19,"n.a.")</x:f>
        <x:v>32344.528</x:v>
      </x:c>
      <x:c r="K20" s="57" t="n">
        <x:f>IF(AND(ISNUMBER(K17),ISNUMBER(K19)),K17+K19,"n.a.")</x:f>
        <x:v>32736.6976</x:v>
      </x:c>
      <x:c r="L20" s="57" t="n">
        <x:f>IF(AND(ISNUMBER(L17),ISNUMBER(L19)),L17+L19,"n.a.")</x:f>
        <x:v>32344.528</x:v>
      </x:c>
      <x:c r="M20" s="57" t="n">
        <x:f>IF(AND(ISNUMBER(M17),ISNUMBER(M19)),M17+M19,"n.a.")</x:f>
        <x:v>32736.6976</x:v>
      </x:c>
      <x:c r="N20" s="57" t="n">
        <x:f>IF(AND(ISNUMBER(N17),ISNUMBER(N19)),N17+N19,"n.a.")</x:f>
        <x:v>32736.6976</x:v>
      </x:c>
      <x:c r="O20" s="57" t="n">
        <x:f>IF(AND(ISNUMBER(O17),ISNUMBER(O19)),O17+O19,"n.a.")</x:f>
        <x:v>32344.528</x:v>
      </x:c>
      <x:c r="P20" s="57" t="n">
        <x:f>IF(AND(ISNUMBER(P17),ISNUMBER(P19)),P17+P19,"n.a.")</x:f>
        <x:v>32736.6976</x:v>
      </x:c>
      <x:c r="Q20" s="57" t="n">
        <x:f>IF(AND(ISNUMBER(Q17),ISNUMBER(Q19)),Q17+Q19,"n.a.")</x:f>
        <x:v>32344.528</x:v>
      </x:c>
      <x:c r="R20" s="57" t="n">
        <x:f>IF(AND(ISNUMBER(R17),ISNUMBER(R19)),R17+R19,"n.a.")</x:f>
        <x:v>30710.487999999998</x:v>
      </x:c>
    </x:row>
    <x:row r="21" ht="21" customHeight="1">
      <x:c r="A21" s="2"/>
      <x:c r="B21" s="2"/>
      <x:c r="C21" s="56" t="str">
        <x:v>NOI / operating cash before reserves</x:v>
      </x:c>
      <x:c r="D21" s="56" t="str">
        <x:v>USD</x:v>
      </x:c>
      <x:c r="E21" s="57" t="n">
        <x:f>IF(COUNT(G21:R21)=12,SUM(G21:R21),"n.a.")</x:f>
        <x:v>783853.0752</x:v>
      </x:c>
      <x:c r="F21" s="56"/>
      <x:c r="G21" s="57" t="n">
        <x:f>IF(AND(ISNUMBER(G16),ISNUMBER(G20)),G16-G20,"n.a.")</x:f>
        <x:v>57349.912</x:v>
      </x:c>
      <x:c r="H21" s="57" t="n">
        <x:f>IF(AND(ISNUMBER(H16),ISNUMBER(H20)),H16-H20,"n.a.")</x:f>
        <x:v>61989.85119999999</x:v>
      </x:c>
      <x:c r="I21" s="57" t="n">
        <x:f>IF(AND(ISNUMBER(I16),ISNUMBER(I20)),I16-I20,"n.a.")</x:f>
        <x:v>68414.3824</x:v>
      </x:c>
      <x:c r="J21" s="57" t="n">
        <x:f>IF(AND(ISNUMBER(J16),ISNUMBER(J20)),J16-J20,"n.a.")</x:f>
        <x:v>66272.872</x:v>
      </x:c>
      <x:c r="K21" s="57" t="n">
        <x:f>IF(AND(ISNUMBER(K16),ISNUMBER(K20)),K16-K20,"n.a.")</x:f>
        <x:v>68414.3824</x:v>
      </x:c>
      <x:c r="L21" s="57" t="n">
        <x:f>IF(AND(ISNUMBER(L16),ISNUMBER(L20)),L16-L20,"n.a.")</x:f>
        <x:v>66272.872</x:v>
      </x:c>
      <x:c r="M21" s="57" t="n">
        <x:f>IF(AND(ISNUMBER(M16),ISNUMBER(M20)),M16-M20,"n.a.")</x:f>
        <x:v>68414.3824</x:v>
      </x:c>
      <x:c r="N21" s="57" t="n">
        <x:f>IF(AND(ISNUMBER(N16),ISNUMBER(N20)),N16-N20,"n.a.")</x:f>
        <x:v>68414.3824</x:v>
      </x:c>
      <x:c r="O21" s="57" t="n">
        <x:f>IF(AND(ISNUMBER(O16),ISNUMBER(O20)),O16-O20,"n.a.")</x:f>
        <x:v>66272.872</x:v>
      </x:c>
      <x:c r="P21" s="57" t="n">
        <x:f>IF(AND(ISNUMBER(P16),ISNUMBER(P20)),P16-P20,"n.a.")</x:f>
        <x:v>68414.3824</x:v>
      </x:c>
      <x:c r="Q21" s="57" t="n">
        <x:f>IF(AND(ISNUMBER(Q16),ISNUMBER(Q20)),Q16-Q20,"n.a.")</x:f>
        <x:v>66272.872</x:v>
      </x:c>
      <x:c r="R21" s="57" t="n">
        <x:f>IF(AND(ISNUMBER(R16),ISNUMBER(R20)),R16-R20,"n.a.")</x:f>
        <x:v>57349.912</x:v>
      </x:c>
    </x:row>
    <x:row r="22" ht="21" customHeight="1">
      <x:c r="A22" s="2"/>
      <x:c r="B22" s="2"/>
      <x:c r="C22" s="2" t="str">
        <x:v>Cash replacement reserve deposits</x:v>
      </x:c>
      <x:c r="D22" s="2" t="str">
        <x:v>USD</x:v>
      </x:c>
      <x:c r="E22" s="52" t="n">
        <x:f>IF(COUNT(G22:R22)=12,SUM(G22:R22),"n.a.")</x:f>
        <x:v>35096.8752</x:v>
      </x:c>
      <x:c r="F22" s="2"/>
      <x:c r="G22" s="51" t="n">
        <x:f>IF(AND(ISNUMBER(G16),ISNUMBER('Assumptions'!$D$58)),MAX(0,G16)*'Assumptions'!$D$58,"n.a.")</x:f>
        <x:v>2641.812</x:v>
      </x:c>
      <x:c r="H22" s="51" t="n">
        <x:f>IF(AND(ISNUMBER(H16),ISNUMBER('Assumptions'!$D$58)),MAX(0,H16)*'Assumptions'!$D$58,"n.a.")</x:f>
        <x:v>2806.5011999999997</x:v>
      </x:c>
      <x:c r="I22" s="51" t="n">
        <x:f>IF(AND(ISNUMBER(I16),ISNUMBER('Assumptions'!$D$58)),MAX(0,I16)*'Assumptions'!$D$58,"n.a.")</x:f>
        <x:v>3034.5324</x:v>
      </x:c>
      <x:c r="J22" s="51" t="n">
        <x:f>IF(AND(ISNUMBER(J16),ISNUMBER('Assumptions'!$D$58)),MAX(0,J16)*'Assumptions'!$D$58,"n.a.")</x:f>
        <x:v>2958.522</x:v>
      </x:c>
      <x:c r="K22" s="51" t="n">
        <x:f>IF(AND(ISNUMBER(K16),ISNUMBER('Assumptions'!$D$58)),MAX(0,K16)*'Assumptions'!$D$58,"n.a.")</x:f>
        <x:v>3034.5324</x:v>
      </x:c>
      <x:c r="L22" s="51" t="n">
        <x:f>IF(AND(ISNUMBER(L16),ISNUMBER('Assumptions'!$D$58)),MAX(0,L16)*'Assumptions'!$D$58,"n.a.")</x:f>
        <x:v>2958.522</x:v>
      </x:c>
      <x:c r="M22" s="51" t="n">
        <x:f>IF(AND(ISNUMBER(M16),ISNUMBER('Assumptions'!$D$58)),MAX(0,M16)*'Assumptions'!$D$58,"n.a.")</x:f>
        <x:v>3034.5324</x:v>
      </x:c>
      <x:c r="N22" s="51" t="n">
        <x:f>IF(AND(ISNUMBER(N16),ISNUMBER('Assumptions'!$D$58)),MAX(0,N16)*'Assumptions'!$D$58,"n.a.")</x:f>
        <x:v>3034.5324</x:v>
      </x:c>
      <x:c r="O22" s="51" t="n">
        <x:f>IF(AND(ISNUMBER(O16),ISNUMBER('Assumptions'!$D$58)),MAX(0,O16)*'Assumptions'!$D$58,"n.a.")</x:f>
        <x:v>2958.522</x:v>
      </x:c>
      <x:c r="P22" s="51" t="n">
        <x:f>IF(AND(ISNUMBER(P16),ISNUMBER('Assumptions'!$D$58)),MAX(0,P16)*'Assumptions'!$D$58,"n.a.")</x:f>
        <x:v>3034.5324</x:v>
      </x:c>
      <x:c r="Q22" s="51" t="n">
        <x:f>IF(AND(ISNUMBER(Q16),ISNUMBER('Assumptions'!$D$58)),MAX(0,Q16)*'Assumptions'!$D$58,"n.a.")</x:f>
        <x:v>2958.522</x:v>
      </x:c>
      <x:c r="R22" s="51" t="n">
        <x:f>IF(AND(ISNUMBER(R16),ISNUMBER('Assumptions'!$D$58)),MAX(0,R16)*'Assumptions'!$D$58,"n.a.")</x:f>
        <x:v>2641.812</x:v>
      </x:c>
    </x:row>
    <x:row r="23" ht="21" customHeight="1">
      <x:c r="A23" s="2"/>
      <x:c r="B23" s="2"/>
      <x:c r="C23" s="56" t="str">
        <x:v>Cash NCF before property debt / capital</x:v>
      </x:c>
      <x:c r="D23" s="56" t="str">
        <x:v>USD</x:v>
      </x:c>
      <x:c r="E23" s="57" t="n">
        <x:f>IF(COUNT(G23:R23)=12,SUM(G23:R23),"n.a.")</x:f>
        <x:v>748756.1999999998</x:v>
      </x:c>
      <x:c r="F23" s="56"/>
      <x:c r="G23" s="57" t="n">
        <x:f>IF(AND(ISNUMBER(G21),ISNUMBER(G22)),G21-G22,"n.a.")</x:f>
        <x:v>54708.1</x:v>
      </x:c>
      <x:c r="H23" s="57" t="n">
        <x:f>IF(AND(ISNUMBER(H21),ISNUMBER(H22)),H21-H22,"n.a.")</x:f>
        <x:v>59183.34999999999</x:v>
      </x:c>
      <x:c r="I23" s="57" t="n">
        <x:f>IF(AND(ISNUMBER(I21),ISNUMBER(I22)),I21-I22,"n.a.")</x:f>
        <x:v>65379.850000000006</x:v>
      </x:c>
      <x:c r="J23" s="57" t="n">
        <x:f>IF(AND(ISNUMBER(J21),ISNUMBER(J22)),J21-J22,"n.a.")</x:f>
        <x:v>63314.350000000006</x:v>
      </x:c>
      <x:c r="K23" s="57" t="n">
        <x:f>IF(AND(ISNUMBER(K21),ISNUMBER(K22)),K21-K22,"n.a.")</x:f>
        <x:v>65379.850000000006</x:v>
      </x:c>
      <x:c r="L23" s="57" t="n">
        <x:f>IF(AND(ISNUMBER(L21),ISNUMBER(L22)),L21-L22,"n.a.")</x:f>
        <x:v>63314.350000000006</x:v>
      </x:c>
      <x:c r="M23" s="57" t="n">
        <x:f>IF(AND(ISNUMBER(M21),ISNUMBER(M22)),M21-M22,"n.a.")</x:f>
        <x:v>65379.850000000006</x:v>
      </x:c>
      <x:c r="N23" s="57" t="n">
        <x:f>IF(AND(ISNUMBER(N21),ISNUMBER(N22)),N21-N22,"n.a.")</x:f>
        <x:v>65379.850000000006</x:v>
      </x:c>
      <x:c r="O23" s="57" t="n">
        <x:f>IF(AND(ISNUMBER(O21),ISNUMBER(O22)),O21-O22,"n.a.")</x:f>
        <x:v>63314.350000000006</x:v>
      </x:c>
      <x:c r="P23" s="57" t="n">
        <x:f>IF(AND(ISNUMBER(P21),ISNUMBER(P22)),P21-P22,"n.a.")</x:f>
        <x:v>65379.850000000006</x:v>
      </x:c>
      <x:c r="Q23" s="57" t="n">
        <x:f>IF(AND(ISNUMBER(Q21),ISNUMBER(Q22)),Q21-Q22,"n.a.")</x:f>
        <x:v>63314.350000000006</x:v>
      </x:c>
      <x:c r="R23" s="57" t="n">
        <x:f>IF(AND(ISNUMBER(R21),ISNUMBER(R22)),R21-R22,"n.a.")</x:f>
        <x:v>54708.1</x:v>
      </x:c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21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</x:row>
    <x:row r="29" ht="21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</x:row>
    <x:row r="31" ht="21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</x:row>
    <x:row r="32" ht="21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</x:row>
    <x:row r="33" ht="21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</x:row>
    <x:row r="35" ht="21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</x:row>
    <x:row r="36" ht="21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</x:row>
    <x:row r="37" ht="21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</x:row>
    <x:row r="38" ht="21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xSplit="3" ySplit="28" topLeftCell="D29" activePane="bottomRight" state="frozen"/>
    </x:sheetView>
  </x:sheetViews>
  <x:sheetFormatPr defaultRowHeight="15"/>
  <x:cols>
    <x:col min="1" max="1" width="2.5" hidden="0" customWidth="1"/>
    <x:col min="2" max="2" width="2.5" hidden="0" customWidth="1"/>
    <x:col min="3" max="3" width="49" hidden="0" customWidth="1"/>
    <x:col min="4" max="4" width="19" hidden="0" customWidth="1"/>
    <x:col min="5" max="5" width="3" hidden="0" customWidth="1"/>
    <x:col min="6" max="6" width="3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</x:row>
    <x:row r="2" ht="21" customHeight="1">
      <x:c r="A2" s="2"/>
      <x:c r="B2" s="2"/>
      <x:c r="C2" s="3" t="str">
        <x:v>Debt sizing and cash funding</x:v>
      </x:c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</x:row>
    <x:row r="7" ht="21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</x:row>
    <x:row r="9" ht="21" customHeight="1">
      <x:c r="A9" s="2"/>
      <x:c r="B9" s="2"/>
      <x:c r="C9" s="2" t="str">
        <x:v>Annual underwritten NCF</x:v>
      </x:c>
      <x:c r="D9" s="51" t="n">
        <x:f>IF(AND(ISNUMBER('Operations'!E23),ISNUMBER('Assumptions'!$D$52)),'Operations'!E23+'Assumptions'!$D$52,"n.a.")</x:f>
        <x:v>748756.1999999998</x:v>
      </x:c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</x:row>
    <x:row r="10" ht="21" customHeight="1">
      <x:c r="A10" s="2"/>
      <x:c r="B10" s="2"/>
      <x:c r="C10" s="2" t="str">
        <x:v>Monthly amortizing factor</x:v>
      </x:c>
      <x:c r="D10" s="59" t="n">
        <x:f>IF(AND(ISNUMBER('Assumptions'!$D$31),ISNUMBER('Assumptions'!$D$34)),IF('Assumptions'!$D$31=0,1/('Assumptions'!$D$34*12),('Assumptions'!$D$31/12)/(1-(1+'Assumptions'!$D$31/12)^(-'Assumptions'!$D$34*12))),"n.a.")</x:f>
        <x:v>0.0067520716134764165</x:v>
      </x:c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</x:row>
    <x:row r="11" ht="21" customHeight="1">
      <x:c r="A11" s="2"/>
      <x:c r="B11" s="2"/>
      <x:c r="C11" s="2" t="str">
        <x:v>DSCR loan capacity</x:v>
      </x:c>
      <x:c r="D11" s="51" t="n">
        <x:f>IF(AND(ISNUMBER(D9),ISNUMBER('Assumptions'!$D$46),ISNUMBER(D10)),MAX(0,D9)/'Assumptions'!$D$46/(D10*12),"n.a.")</x:f>
        <x:v>7392854.053912996</x:v>
      </x:c>
      <x:c r="E11" s="2"/>
      <x:c r="F11" s="2"/>
      <x:c r="G11" s="2" t="str">
        <x:v>Monthly interest is annual rate /12. Amortization starts after IO using the full entered amortization period.</x:v>
      </x:c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</x:row>
    <x:row r="12" ht="21" customHeight="1">
      <x:c r="A12" s="2"/>
      <x:c r="B12" s="2"/>
      <x:c r="C12" s="2" t="str">
        <x:v>LTV loan capacity</x:v>
      </x:c>
      <x:c r="D12" s="51" t="n">
        <x:f>IF(AND(ISNUMBER('Assumptions'!$D$10),ISNUMBER('Assumptions'!$D$43)),'Assumptions'!$D$10*'Assumptions'!$D$43,"n.a.")</x:f>
        <x:v>4225000</x:v>
      </x:c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</x:row>
    <x:row r="13" ht="21" customHeight="1">
      <x:c r="A13" s="2"/>
      <x:c r="B13" s="2"/>
      <x:c r="C13" s="2" t="str">
        <x:v>Debt-yield loan capacity</x:v>
      </x:c>
      <x:c r="D13" s="51" t="n">
        <x:f>IF(AND(ISNUMBER(D9),ISNUMBER('Assumptions'!$D$49)),MAX(0,D9)/'Assumptions'!$D$49,"n.a.")</x:f>
        <x:v>8319513.333333332</x:v>
      </x:c>
      <x:c r="E13" s="2"/>
      <x:c r="F13" s="2"/>
      <x:c r="G13" s="2" t="str">
        <x:v>Sizing always uses amortizing annual service. Actual first-year DSCR may be higher during IO.</x:v>
      </x:c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</x:row>
    <x:row r="14" ht="21" customHeight="1">
      <x:c r="A14" s="2"/>
      <x:c r="B14" s="2"/>
      <x:c r="C14" s="2" t="str">
        <x:v>Sized loan amount</x:v>
      </x:c>
      <x:c r="D14" s="51" t="n">
        <x:f>IF(AND(ISNUMBER(D11),ISNUMBER(D12),ISNUMBER(D13),ISNUMBER('Assumptions'!$D$28)),MIN(D11,D12,D13,'Assumptions'!$D$28),"n.a.")</x:f>
        <x:v>4000000</x:v>
      </x:c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</x:row>
    <x:row r="15" ht="21" customHeight="1">
      <x:c r="A15" s="2"/>
      <x:c r="B15" s="2"/>
      <x:c r="C15" s="2" t="str">
        <x:v>Binding quantitative constraint</x:v>
      </x:c>
      <x:c r="D15" s="13" t="str">
        <x:f>IF(COUNT(D11,D12,D13,D14)=4,IF(D14=D11,"DSCR",IF(D14=D12,"LTV",IF(D14=D13,"Debt yield","Requested ceiling"))),"n.a.")</x:f>
        <x:v>Requested ceiling</x:v>
      </x:c>
      <x:c r="E15" s="2"/>
      <x:c r="F15" s="2"/>
      <x:c r="G15" s="2" t="str">
        <x:v>The maturity balloon is principal only; payoff interest, premiums and future refi costs are excluded.</x:v>
      </x:c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</x:row>
    <x:row r="16" ht="21" customHeight="1">
      <x:c r="A16" s="2"/>
      <x:c r="B16" s="2"/>
      <x:c r="C16" s="2" t="str">
        <x:v>Monthly payment after IO</x:v>
      </x:c>
      <x:c r="D16" s="52" t="n">
        <x:f>IF(AND(ISNUMBER(D14),ISNUMBER(D10)),D14*D10,"n.a.")</x:f>
        <x:v>27008.286453905665</x:v>
      </x:c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</x:row>
    <x:row r="17" ht="21" customHeight="1">
      <x:c r="A17" s="2"/>
      <x:c r="B17" s="2"/>
      <x:c r="C17" s="2" t="str">
        <x:v>Price, costs and both cash reserves</x:v>
      </x:c>
      <x:c r="D17" s="51" t="n">
        <x:f>IF(AND(ISNUMBER('Assumptions'!$D$13),ISNUMBER('Assumptions'!$D$16),ISNUMBER('Assumptions'!$D$19),ISNUMBER('Assumptions'!$D$22)),'Assumptions'!$D$13+'Assumptions'!$D$16+'Assumptions'!$D$19+'Assumptions'!$D$22,"n.a.")</x:f>
        <x:v>6450000</x:v>
      </x:c>
      <x:c r="E17" s="2"/>
      <x:c r="F17" s="2"/>
      <x:c r="G17" s="2" t="str">
        <x:v>Closing cash funds the operating account. A maturity within month12 is repaid in cash; later maturities are outside this cash horizon.</x:v>
      </x:c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</x:row>
    <x:row r="18" ht="21" customHeight="1">
      <x:c r="A18" s="2"/>
      <x:c r="B18" s="2"/>
      <x:c r="C18" s="2" t="str">
        <x:v>Closing equity / (excess loan proceeds)</x:v>
      </x:c>
      <x:c r="D18" s="52" t="n">
        <x:f>IF(AND(ISNUMBER(D17),ISNUMBER(D14)),D17-D14,"n.a.")</x:f>
        <x:v>2450000</x:v>
      </x:c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</x:row>
    <x:row r="19" ht="21" customHeight="1">
      <x:c r="A19" s="2"/>
      <x:c r="B19" s="2"/>
      <x:c r="C19" s="2" t="str">
        <x:v>Available equity less closing need</x:v>
      </x:c>
      <x:c r="D19" s="51" t="n">
        <x:f>IF(AND(ISNUMBER('Assumptions'!$D$25),ISNUMBER(D18)),'Assumptions'!$D$25-D18,"n.a.")</x:f>
        <x:v>850000</x:v>
      </x:c>
      <x:c r="E19" s="2"/>
      <x:c r="F19" s="2"/>
      <x:c r="G19" s="2" t="str">
        <x:v>Negative closing equity means conditional excess loan proceeds; actual permitted disbursement or cash-out may differ.</x:v>
      </x:c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</x:row>
    <x:row r="20" ht="21" customHeight="1">
      <x:c r="A20" s="2"/>
      <x:c r="B20" s="2"/>
      <x:c r="C20" s="2" t="str">
        <x:v>Scheduled principal at maturity</x:v>
      </x:c>
      <x:c r="D20" s="51" t="n">
        <x:f>IF(AND(ISNUMBER('Assumptions'!$D$40),ISNUMBER('Assumptions'!$D$37),ISNUMBER('Assumptions'!$D$34),ISNUMBER(D14),ISNUMBER('Assumptions'!$D$31),ISNUMBER(D16)),IF(OR('Assumptions'!$D$40&lt;12,'Assumptions'!$D$40&gt;'Assumptions'!$D$37+'Assumptions'!$D$34*12),"n.a.",IF('Assumptions'!$D$40&lt;='Assumptions'!$D$37,D14,MAX(0,IF('Assumptions'!$D$31=0,D14-D16*('Assumptions'!$D$40-'Assumptions'!$D$37),D14*(1+'Assumptions'!$D$31/12)^('Assumptions'!$D$40-'Assumptions'!$D$37)-D16*((1+'Assumptions'!$D$31/12)^('Assumptions'!$D$40-'Assumptions'!$D$37)-1)/('Assumptions'!$D$31/12))))),"n.a.")</x:f>
        <x:v>3665977.2202815325</x:v>
      </x:c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</x:row>
    <x:row r="23" ht="21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</x:row>
    <x:row r="24" ht="21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</x:row>
    <x:row r="25" ht="21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</x:row>
    <x:row r="27" ht="21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</x:row>
    <x:row r="28" ht="30" customHeight="1">
      <x:c r="A28" s="2"/>
      <x:c r="B28" s="2"/>
      <x:c r="C28" s="2"/>
      <x:c r="D28" s="2"/>
      <x:c r="E28" s="2"/>
      <x:c r="F28" s="2"/>
      <x:c r="G28" s="46" t="n">
        <x:f>'Operations'!G9</x:f>
        <x:v>46388</x:v>
      </x:c>
      <x:c r="H28" s="46" t="n">
        <x:f>'Operations'!H9</x:f>
        <x:v>46419</x:v>
      </x:c>
      <x:c r="I28" s="46" t="n">
        <x:f>'Operations'!I9</x:f>
        <x:v>46447</x:v>
      </x:c>
      <x:c r="J28" s="46" t="n">
        <x:f>'Operations'!J9</x:f>
        <x:v>46478</x:v>
      </x:c>
      <x:c r="K28" s="46" t="n">
        <x:f>'Operations'!K9</x:f>
        <x:v>46508</x:v>
      </x:c>
      <x:c r="L28" s="46" t="n">
        <x:f>'Operations'!L9</x:f>
        <x:v>46539</x:v>
      </x:c>
      <x:c r="M28" s="46" t="n">
        <x:f>'Operations'!M9</x:f>
        <x:v>46569</x:v>
      </x:c>
      <x:c r="N28" s="46" t="n">
        <x:f>'Operations'!N9</x:f>
        <x:v>46600</x:v>
      </x:c>
      <x:c r="O28" s="46" t="n">
        <x:f>'Operations'!O9</x:f>
        <x:v>46631</x:v>
      </x:c>
      <x:c r="P28" s="46" t="n">
        <x:f>'Operations'!P9</x:f>
        <x:v>46661</x:v>
      </x:c>
      <x:c r="Q28" s="46" t="n">
        <x:f>'Operations'!Q9</x:f>
        <x:v>46692</x:v>
      </x:c>
      <x:c r="R28" s="46" t="n">
        <x:f>'Operations'!R9</x:f>
        <x:v>46722</x:v>
      </x:c>
    </x:row>
    <x:row r="29" ht="21" customHeight="1">
      <x:c r="A29" s="2"/>
      <x:c r="B29" s="2"/>
      <x:c r="C29" s="2" t="str">
        <x:v>Opening loan balance</x:v>
      </x:c>
      <x:c r="D29" s="2"/>
      <x:c r="E29" s="2"/>
      <x:c r="F29" s="2"/>
      <x:c r="G29" s="60" t="n">
        <x:f>IF(AND(ISNUMBER(D14)),D14,"n.a.")</x:f>
        <x:v>4000000</x:v>
      </x:c>
      <x:c r="H29" s="60" t="n">
        <x:f>IF(AND(ISNUMBER(G33)),G33,"n.a.")</x:f>
        <x:v>4000000</x:v>
      </x:c>
      <x:c r="I29" s="60" t="n">
        <x:f>IF(AND(ISNUMBER(H33)),H33,"n.a.")</x:f>
        <x:v>4000000</x:v>
      </x:c>
      <x:c r="J29" s="60" t="n">
        <x:f>IF(AND(ISNUMBER(I33)),I33,"n.a.")</x:f>
        <x:v>4000000</x:v>
      </x:c>
      <x:c r="K29" s="60" t="n">
        <x:f>IF(AND(ISNUMBER(J33)),J33,"n.a.")</x:f>
        <x:v>4000000</x:v>
      </x:c>
      <x:c r="L29" s="60" t="n">
        <x:f>IF(AND(ISNUMBER(K33)),K33,"n.a.")</x:f>
        <x:v>4000000</x:v>
      </x:c>
      <x:c r="M29" s="60" t="n">
        <x:f>IF(AND(ISNUMBER(L33)),L33,"n.a.")</x:f>
        <x:v>4000000</x:v>
      </x:c>
      <x:c r="N29" s="60" t="n">
        <x:f>IF(AND(ISNUMBER(M33)),M33,"n.a.")</x:f>
        <x:v>3994658.380212761</x:v>
      </x:c>
      <x:c r="O29" s="60" t="n">
        <x:f>IF(AND(ISNUMBER(N33)),N33,"n.a.")</x:f>
        <x:v>3989287.826651674</x:v>
      </x:c>
      <x:c r="P29" s="60" t="n">
        <x:f>IF(AND(ISNUMBER(O33)),O33,"n.a.")</x:f>
        <x:v>3983888.1825921317</x:v>
      </x:c>
      <x:c r="Q29" s="60" t="n">
        <x:f>IF(AND(ISNUMBER(P33)),P33,"n.a.")</x:f>
        <x:v>3978459.2904606</x:v>
      </x:c>
      <x:c r="R29" s="60" t="n">
        <x:f>IF(AND(ISNUMBER(Q33)),Q33,"n.a.")</x:f>
        <x:v>3973000.9918300225</x:v>
      </x:c>
    </x:row>
    <x:row r="30" ht="21" customHeight="1">
      <x:c r="A30" s="2"/>
      <x:c r="B30" s="2"/>
      <x:c r="C30" s="2" t="str">
        <x:v>Monthly interest</x:v>
      </x:c>
      <x:c r="D30" s="2"/>
      <x:c r="E30" s="2"/>
      <x:c r="F30" s="2"/>
      <x:c r="G30" s="61" t="n">
        <x:f>IF(AND(ISNUMBER(G29),ISNUMBER('Assumptions'!$D$31)),G29*'Assumptions'!$D$31/12,"n.a.")</x:f>
        <x:v>21666.666666666668</x:v>
      </x:c>
      <x:c r="H30" s="61" t="n">
        <x:f>IF(AND(ISNUMBER(H29),ISNUMBER('Assumptions'!$D$31)),H29*'Assumptions'!$D$31/12,"n.a.")</x:f>
        <x:v>21666.666666666668</x:v>
      </x:c>
      <x:c r="I30" s="61" t="n">
        <x:f>IF(AND(ISNUMBER(I29),ISNUMBER('Assumptions'!$D$31)),I29*'Assumptions'!$D$31/12,"n.a.")</x:f>
        <x:v>21666.666666666668</x:v>
      </x:c>
      <x:c r="J30" s="61" t="n">
        <x:f>IF(AND(ISNUMBER(J29),ISNUMBER('Assumptions'!$D$31)),J29*'Assumptions'!$D$31/12,"n.a.")</x:f>
        <x:v>21666.666666666668</x:v>
      </x:c>
      <x:c r="K30" s="61" t="n">
        <x:f>IF(AND(ISNUMBER(K29),ISNUMBER('Assumptions'!$D$31)),K29*'Assumptions'!$D$31/12,"n.a.")</x:f>
        <x:v>21666.666666666668</x:v>
      </x:c>
      <x:c r="L30" s="61" t="n">
        <x:f>IF(AND(ISNUMBER(L29),ISNUMBER('Assumptions'!$D$31)),L29*'Assumptions'!$D$31/12,"n.a.")</x:f>
        <x:v>21666.666666666668</x:v>
      </x:c>
      <x:c r="M30" s="61" t="n">
        <x:f>IF(AND(ISNUMBER(M29),ISNUMBER('Assumptions'!$D$31)),M29*'Assumptions'!$D$31/12,"n.a.")</x:f>
        <x:v>21666.666666666668</x:v>
      </x:c>
      <x:c r="N30" s="61" t="n">
        <x:f>IF(AND(ISNUMBER(N29),ISNUMBER('Assumptions'!$D$31)),N29*'Assumptions'!$D$31/12,"n.a.")</x:f>
        <x:v>21637.732892819124</x:v>
      </x:c>
      <x:c r="O30" s="61" t="n">
        <x:f>IF(AND(ISNUMBER(O29),ISNUMBER('Assumptions'!$D$31)),O29*'Assumptions'!$D$31/12,"n.a.")</x:f>
        <x:v>21608.642394363236</x:v>
      </x:c>
      <x:c r="P30" s="61" t="n">
        <x:f>IF(AND(ISNUMBER(P29),ISNUMBER('Assumptions'!$D$31)),P29*'Assumptions'!$D$31/12,"n.a.")</x:f>
        <x:v>21579.394322374046</x:v>
      </x:c>
      <x:c r="Q30" s="61" t="n">
        <x:f>IF(AND(ISNUMBER(Q29),ISNUMBER('Assumptions'!$D$31)),Q29*'Assumptions'!$D$31/12,"n.a.")</x:f>
        <x:v>21549.98782332825</x:v>
      </x:c>
      <x:c r="R30" s="61" t="n">
        <x:f>IF(AND(ISNUMBER(R29),ISNUMBER('Assumptions'!$D$31)),R29*'Assumptions'!$D$31/12,"n.a.")</x:f>
        <x:v>21520.42203907929</x:v>
      </x:c>
    </x:row>
    <x:row r="31" ht="21" customHeight="1">
      <x:c r="A31" s="2"/>
      <x:c r="B31" s="2"/>
      <x:c r="C31" s="2" t="str">
        <x:v>Scheduled payment</x:v>
      </x:c>
      <x:c r="D31" s="2"/>
      <x:c r="E31" s="2"/>
      <x:c r="F31" s="2"/>
      <x:c r="G31" s="61" t="n">
        <x:f>IF(AND(ISNUMBER('Assumptions'!$D$37),ISNUMBER(G30),ISNUMBER(G29),ISNUMBER(D16)),IF(1&lt;='Assumptions'!$D$37,G30,MIN(G29+G30,D16)),"n.a.")</x:f>
        <x:v>21666.666666666668</x:v>
      </x:c>
      <x:c r="H31" s="61" t="n">
        <x:f>IF(AND(ISNUMBER('Assumptions'!$D$37),ISNUMBER(H30),ISNUMBER(H29),ISNUMBER(D16)),IF(2&lt;='Assumptions'!$D$37,H30,MIN(H29+H30,D16)),"n.a.")</x:f>
        <x:v>21666.666666666668</x:v>
      </x:c>
      <x:c r="I31" s="61" t="n">
        <x:f>IF(AND(ISNUMBER('Assumptions'!$D$37),ISNUMBER(I30),ISNUMBER(I29),ISNUMBER(D16)),IF(3&lt;='Assumptions'!$D$37,I30,MIN(I29+I30,D16)),"n.a.")</x:f>
        <x:v>21666.666666666668</x:v>
      </x:c>
      <x:c r="J31" s="61" t="n">
        <x:f>IF(AND(ISNUMBER('Assumptions'!$D$37),ISNUMBER(J30),ISNUMBER(J29),ISNUMBER(D16)),IF(4&lt;='Assumptions'!$D$37,J30,MIN(J29+J30,D16)),"n.a.")</x:f>
        <x:v>21666.666666666668</x:v>
      </x:c>
      <x:c r="K31" s="61" t="n">
        <x:f>IF(AND(ISNUMBER('Assumptions'!$D$37),ISNUMBER(K30),ISNUMBER(K29),ISNUMBER(D16)),IF(5&lt;='Assumptions'!$D$37,K30,MIN(K29+K30,D16)),"n.a.")</x:f>
        <x:v>21666.666666666668</x:v>
      </x:c>
      <x:c r="L31" s="61" t="n">
        <x:f>IF(AND(ISNUMBER('Assumptions'!$D$37),ISNUMBER(L30),ISNUMBER(L29),ISNUMBER(D16)),IF(6&lt;='Assumptions'!$D$37,L30,MIN(L29+L30,D16)),"n.a.")</x:f>
        <x:v>21666.666666666668</x:v>
      </x:c>
      <x:c r="M31" s="61" t="n">
        <x:f>IF(AND(ISNUMBER('Assumptions'!$D$37),ISNUMBER(M30),ISNUMBER(M29),ISNUMBER(D16)),IF(7&lt;='Assumptions'!$D$37,M30,MIN(M29+M30,D16)),"n.a.")</x:f>
        <x:v>27008.286453905665</x:v>
      </x:c>
      <x:c r="N31" s="61" t="n">
        <x:f>IF(AND(ISNUMBER('Assumptions'!$D$37),ISNUMBER(N30),ISNUMBER(N29),ISNUMBER(D16)),IF(8&lt;='Assumptions'!$D$37,N30,MIN(N29+N30,D16)),"n.a.")</x:f>
        <x:v>27008.286453905665</x:v>
      </x:c>
      <x:c r="O31" s="61" t="n">
        <x:f>IF(AND(ISNUMBER('Assumptions'!$D$37),ISNUMBER(O30),ISNUMBER(O29),ISNUMBER(D16)),IF(9&lt;='Assumptions'!$D$37,O30,MIN(O29+O30,D16)),"n.a.")</x:f>
        <x:v>27008.286453905665</x:v>
      </x:c>
      <x:c r="P31" s="61" t="n">
        <x:f>IF(AND(ISNUMBER('Assumptions'!$D$37),ISNUMBER(P30),ISNUMBER(P29),ISNUMBER(D16)),IF(10&lt;='Assumptions'!$D$37,P30,MIN(P29+P30,D16)),"n.a.")</x:f>
        <x:v>27008.286453905665</x:v>
      </x:c>
      <x:c r="Q31" s="61" t="n">
        <x:f>IF(AND(ISNUMBER('Assumptions'!$D$37),ISNUMBER(Q30),ISNUMBER(Q29),ISNUMBER(D16)),IF(11&lt;='Assumptions'!$D$37,Q30,MIN(Q29+Q30,D16)),"n.a.")</x:f>
        <x:v>27008.286453905665</x:v>
      </x:c>
      <x:c r="R31" s="61" t="n">
        <x:f>IF(AND(ISNUMBER('Assumptions'!$D$37),ISNUMBER(R30),ISNUMBER(R29),ISNUMBER(D16)),IF(12&lt;='Assumptions'!$D$37,R30,MIN(R29+R30,D16)),"n.a.")</x:f>
        <x:v>27008.286453905665</x:v>
      </x:c>
    </x:row>
    <x:row r="32" ht="21" customHeight="1">
      <x:c r="A32" s="2"/>
      <x:c r="B32" s="2"/>
      <x:c r="C32" s="2" t="str">
        <x:v>Scheduled principal</x:v>
      </x:c>
      <x:c r="D32" s="2"/>
      <x:c r="E32" s="2"/>
      <x:c r="F32" s="2"/>
      <x:c r="G32" s="60" t="n">
        <x:f>IF(AND(ISNUMBER(G31),ISNUMBER(G30)),G31-G30,"n.a.")</x:f>
        <x:v>0</x:v>
      </x:c>
      <x:c r="H32" s="60" t="n">
        <x:f>IF(AND(ISNUMBER(H31),ISNUMBER(H30)),H31-H30,"n.a.")</x:f>
        <x:v>0</x:v>
      </x:c>
      <x:c r="I32" s="60" t="n">
        <x:f>IF(AND(ISNUMBER(I31),ISNUMBER(I30)),I31-I30,"n.a.")</x:f>
        <x:v>0</x:v>
      </x:c>
      <x:c r="J32" s="60" t="n">
        <x:f>IF(AND(ISNUMBER(J31),ISNUMBER(J30)),J31-J30,"n.a.")</x:f>
        <x:v>0</x:v>
      </x:c>
      <x:c r="K32" s="60" t="n">
        <x:f>IF(AND(ISNUMBER(K31),ISNUMBER(K30)),K31-K30,"n.a.")</x:f>
        <x:v>0</x:v>
      </x:c>
      <x:c r="L32" s="60" t="n">
        <x:f>IF(AND(ISNUMBER(L31),ISNUMBER(L30)),L31-L30,"n.a.")</x:f>
        <x:v>0</x:v>
      </x:c>
      <x:c r="M32" s="60" t="n">
        <x:f>IF(AND(ISNUMBER(M31),ISNUMBER(M30)),M31-M30,"n.a.")</x:f>
        <x:v>5341.619787238997</x:v>
      </x:c>
      <x:c r="N32" s="60" t="n">
        <x:f>IF(AND(ISNUMBER(N31),ISNUMBER(N30)),N31-N30,"n.a.")</x:f>
        <x:v>5370.553561086541</x:v>
      </x:c>
      <x:c r="O32" s="60" t="n">
        <x:f>IF(AND(ISNUMBER(O31),ISNUMBER(O30)),O31-O30,"n.a.")</x:f>
        <x:v>5399.644059542428</x:v>
      </x:c>
      <x:c r="P32" s="60" t="n">
        <x:f>IF(AND(ISNUMBER(P31),ISNUMBER(P30)),P31-P30,"n.a.")</x:f>
        <x:v>5428.892131531618</x:v>
      </x:c>
      <x:c r="Q32" s="60" t="n">
        <x:f>IF(AND(ISNUMBER(Q31),ISNUMBER(Q30)),Q31-Q30,"n.a.")</x:f>
        <x:v>5458.298630577414</x:v>
      </x:c>
      <x:c r="R32" s="60" t="n">
        <x:f>IF(AND(ISNUMBER(R31),ISNUMBER(R30)),R31-R30,"n.a.")</x:f>
        <x:v>5487.864414826374</x:v>
      </x:c>
    </x:row>
    <x:row r="33" ht="21" customHeight="1">
      <x:c r="A33" s="2"/>
      <x:c r="B33" s="2"/>
      <x:c r="C33" s="2" t="str">
        <x:v>Ending loan balance</x:v>
      </x:c>
      <x:c r="D33" s="2"/>
      <x:c r="E33" s="2"/>
      <x:c r="F33" s="2"/>
      <x:c r="G33" s="60" t="n">
        <x:f>IF(AND(ISNUMBER(G29),ISNUMBER(G32),ISNUMBER(G38)),G29-G32-G38,"n.a.")</x:f>
        <x:v>4000000</x:v>
      </x:c>
      <x:c r="H33" s="60" t="n">
        <x:f>IF(AND(ISNUMBER(H29),ISNUMBER(H32),ISNUMBER(H38)),H29-H32-H38,"n.a.")</x:f>
        <x:v>4000000</x:v>
      </x:c>
      <x:c r="I33" s="60" t="n">
        <x:f>IF(AND(ISNUMBER(I29),ISNUMBER(I32),ISNUMBER(I38)),I29-I32-I38,"n.a.")</x:f>
        <x:v>4000000</x:v>
      </x:c>
      <x:c r="J33" s="60" t="n">
        <x:f>IF(AND(ISNUMBER(J29),ISNUMBER(J32),ISNUMBER(J38)),J29-J32-J38,"n.a.")</x:f>
        <x:v>4000000</x:v>
      </x:c>
      <x:c r="K33" s="60" t="n">
        <x:f>IF(AND(ISNUMBER(K29),ISNUMBER(K32),ISNUMBER(K38)),K29-K32-K38,"n.a.")</x:f>
        <x:v>4000000</x:v>
      </x:c>
      <x:c r="L33" s="60" t="n">
        <x:f>IF(AND(ISNUMBER(L29),ISNUMBER(L32),ISNUMBER(L38)),L29-L32-L38,"n.a.")</x:f>
        <x:v>4000000</x:v>
      </x:c>
      <x:c r="M33" s="60" t="n">
        <x:f>IF(AND(ISNUMBER(M29),ISNUMBER(M32),ISNUMBER(M38)),M29-M32-M38,"n.a.")</x:f>
        <x:v>3994658.380212761</x:v>
      </x:c>
      <x:c r="N33" s="60" t="n">
        <x:f>IF(AND(ISNUMBER(N29),ISNUMBER(N32),ISNUMBER(N38)),N29-N32-N38,"n.a.")</x:f>
        <x:v>3989287.826651674</x:v>
      </x:c>
      <x:c r="O33" s="60" t="n">
        <x:f>IF(AND(ISNUMBER(O29),ISNUMBER(O32),ISNUMBER(O38)),O29-O32-O38,"n.a.")</x:f>
        <x:v>3983888.1825921317</x:v>
      </x:c>
      <x:c r="P33" s="60" t="n">
        <x:f>IF(AND(ISNUMBER(P29),ISNUMBER(P32),ISNUMBER(P38)),P29-P32-P38,"n.a.")</x:f>
        <x:v>3978459.2904606</x:v>
      </x:c>
      <x:c r="Q33" s="60" t="n">
        <x:f>IF(AND(ISNUMBER(Q29),ISNUMBER(Q32),ISNUMBER(Q38)),Q29-Q32-Q38,"n.a.")</x:f>
        <x:v>3973000.9918300225</x:v>
      </x:c>
      <x:c r="R33" s="60" t="n">
        <x:f>IF(AND(ISNUMBER(R29),ISNUMBER(R32),ISNUMBER(R38)),R29-R32-R38,"n.a.")</x:f>
        <x:v>3967513.127415196</x:v>
      </x:c>
    </x:row>
    <x:row r="34" ht="21" customHeight="1">
      <x:c r="A34" s="2"/>
      <x:c r="B34" s="2"/>
      <x:c r="C34" s="2" t="str">
        <x:v>Operating cash NCF</x:v>
      </x:c>
      <x:c r="D34" s="2"/>
      <x:c r="E34" s="2"/>
      <x:c r="F34" s="2"/>
      <x:c r="G34" s="61" t="n">
        <x:f>IF(AND(ISNUMBER('Operations'!G23)),'Operations'!G23,"n.a.")</x:f>
        <x:v>54708.1</x:v>
      </x:c>
      <x:c r="H34" s="61" t="n">
        <x:f>IF(AND(ISNUMBER('Operations'!H23)),'Operations'!H23,"n.a.")</x:f>
        <x:v>59183.34999999999</x:v>
      </x:c>
      <x:c r="I34" s="61" t="n">
        <x:f>IF(AND(ISNUMBER('Operations'!I23)),'Operations'!I23,"n.a.")</x:f>
        <x:v>65379.850000000006</x:v>
      </x:c>
      <x:c r="J34" s="61" t="n">
        <x:f>IF(AND(ISNUMBER('Operations'!J23)),'Operations'!J23,"n.a.")</x:f>
        <x:v>63314.350000000006</x:v>
      </x:c>
      <x:c r="K34" s="61" t="n">
        <x:f>IF(AND(ISNUMBER('Operations'!K23)),'Operations'!K23,"n.a.")</x:f>
        <x:v>65379.850000000006</x:v>
      </x:c>
      <x:c r="L34" s="61" t="n">
        <x:f>IF(AND(ISNUMBER('Operations'!L23)),'Operations'!L23,"n.a.")</x:f>
        <x:v>63314.350000000006</x:v>
      </x:c>
      <x:c r="M34" s="61" t="n">
        <x:f>IF(AND(ISNUMBER('Operations'!M23)),'Operations'!M23,"n.a.")</x:f>
        <x:v>65379.850000000006</x:v>
      </x:c>
      <x:c r="N34" s="61" t="n">
        <x:f>IF(AND(ISNUMBER('Operations'!N23)),'Operations'!N23,"n.a.")</x:f>
        <x:v>65379.850000000006</x:v>
      </x:c>
      <x:c r="O34" s="61" t="n">
        <x:f>IF(AND(ISNUMBER('Operations'!O23)),'Operations'!O23,"n.a.")</x:f>
        <x:v>63314.350000000006</x:v>
      </x:c>
      <x:c r="P34" s="61" t="n">
        <x:f>IF(AND(ISNUMBER('Operations'!P23)),'Operations'!P23,"n.a.")</x:f>
        <x:v>65379.850000000006</x:v>
      </x:c>
      <x:c r="Q34" s="61" t="n">
        <x:f>IF(AND(ISNUMBER('Operations'!Q23)),'Operations'!Q23,"n.a.")</x:f>
        <x:v>63314.350000000006</x:v>
      </x:c>
      <x:c r="R34" s="61" t="n">
        <x:f>IF(AND(ISNUMBER('Operations'!R23)),'Operations'!R23,"n.a.")</x:f>
        <x:v>54708.1</x:v>
      </x:c>
    </x:row>
    <x:row r="35" ht="21" customHeight="1">
      <x:c r="A35" s="2"/>
      <x:c r="B35" s="2"/>
      <x:c r="C35" s="2" t="str">
        <x:v>Capital-work cash</x:v>
      </x:c>
      <x:c r="D35" s="2"/>
      <x:c r="E35" s="2"/>
      <x:c r="F35" s="2"/>
      <x:c r="G35" s="61" t="n">
        <x:f>IF(AND(ISNUMBER('Operations'!G18)),'Operations'!G18,"n.a.")</x:f>
        <x:v>2500</x:v>
      </x:c>
      <x:c r="H35" s="61" t="n">
        <x:f>IF(AND(ISNUMBER('Operations'!H18)),'Operations'!H18,"n.a.")</x:f>
        <x:v>2500</x:v>
      </x:c>
      <x:c r="I35" s="61" t="n">
        <x:f>IF(AND(ISNUMBER('Operations'!I18)),'Operations'!I18,"n.a.")</x:f>
        <x:v>2500</x:v>
      </x:c>
      <x:c r="J35" s="61" t="n">
        <x:f>IF(AND(ISNUMBER('Operations'!J18)),'Operations'!J18,"n.a.")</x:f>
        <x:v>2500</x:v>
      </x:c>
      <x:c r="K35" s="61" t="n">
        <x:f>IF(AND(ISNUMBER('Operations'!K18)),'Operations'!K18,"n.a.")</x:f>
        <x:v>2500</x:v>
      </x:c>
      <x:c r="L35" s="61" t="n">
        <x:f>IF(AND(ISNUMBER('Operations'!L18)),'Operations'!L18,"n.a.")</x:f>
        <x:v>2500</x:v>
      </x:c>
      <x:c r="M35" s="61" t="n">
        <x:f>IF(AND(ISNUMBER('Operations'!M18)),'Operations'!M18,"n.a.")</x:f>
        <x:v>160000</x:v>
      </x:c>
      <x:c r="N35" s="61" t="n">
        <x:f>IF(AND(ISNUMBER('Operations'!N18)),'Operations'!N18,"n.a.")</x:f>
        <x:v>2500</x:v>
      </x:c>
      <x:c r="O35" s="61" t="n">
        <x:f>IF(AND(ISNUMBER('Operations'!O18)),'Operations'!O18,"n.a.")</x:f>
        <x:v>2500</x:v>
      </x:c>
      <x:c r="P35" s="61" t="n">
        <x:f>IF(AND(ISNUMBER('Operations'!P18)),'Operations'!P18,"n.a.")</x:f>
        <x:v>2500</x:v>
      </x:c>
      <x:c r="Q35" s="61" t="n">
        <x:f>IF(AND(ISNUMBER('Operations'!Q18)),'Operations'!Q18,"n.a.")</x:f>
        <x:v>2500</x:v>
      </x:c>
      <x:c r="R35" s="61" t="n">
        <x:f>IF(AND(ISNUMBER('Operations'!R18)),'Operations'!R18,"n.a.")</x:f>
        <x:v>2500</x:v>
      </x:c>
    </x:row>
    <x:row r="36" ht="21" customHeight="1">
      <x:c r="A36" s="2"/>
      <x:c r="B36" s="2"/>
      <x:c r="C36" s="2" t="str">
        <x:v>Cash after debt and capital</x:v>
      </x:c>
      <x:c r="D36" s="2"/>
      <x:c r="E36" s="2"/>
      <x:c r="F36" s="2"/>
      <x:c r="G36" s="60" t="n">
        <x:f>IF(AND(ISNUMBER(G34),ISNUMBER(G31),ISNUMBER(G35),ISNUMBER(G38)),G34-G31-G35-G38,"n.a.")</x:f>
        <x:v>30541.433333333334</x:v>
      </x:c>
      <x:c r="H36" s="60" t="n">
        <x:f>IF(AND(ISNUMBER(H34),ISNUMBER(H31),ISNUMBER(H35),ISNUMBER(H38)),H34-H31-H35-H38,"n.a.")</x:f>
        <x:v>35016.68333333332</x:v>
      </x:c>
      <x:c r="I36" s="60" t="n">
        <x:f>IF(AND(ISNUMBER(I34),ISNUMBER(I31),ISNUMBER(I35),ISNUMBER(I38)),I34-I31-I35-I38,"n.a.")</x:f>
        <x:v>41213.183333333334</x:v>
      </x:c>
      <x:c r="J36" s="60" t="n">
        <x:f>IF(AND(ISNUMBER(J34),ISNUMBER(J31),ISNUMBER(J35),ISNUMBER(J38)),J34-J31-J35-J38,"n.a.")</x:f>
        <x:v>39147.683333333334</x:v>
      </x:c>
      <x:c r="K36" s="60" t="n">
        <x:f>IF(AND(ISNUMBER(K34),ISNUMBER(K31),ISNUMBER(K35),ISNUMBER(K38)),K34-K31-K35-K38,"n.a.")</x:f>
        <x:v>41213.183333333334</x:v>
      </x:c>
      <x:c r="L36" s="60" t="n">
        <x:f>IF(AND(ISNUMBER(L34),ISNUMBER(L31),ISNUMBER(L35),ISNUMBER(L38)),L34-L31-L35-L38,"n.a.")</x:f>
        <x:v>39147.683333333334</x:v>
      </x:c>
      <x:c r="M36" s="60" t="n">
        <x:f>IF(AND(ISNUMBER(M34),ISNUMBER(M31),ISNUMBER(M35),ISNUMBER(M38)),M34-M31-M35-M38,"n.a.")</x:f>
        <x:v>-121628.43645390566</x:v>
      </x:c>
      <x:c r="N36" s="60" t="n">
        <x:f>IF(AND(ISNUMBER(N34),ISNUMBER(N31),ISNUMBER(N35),ISNUMBER(N38)),N34-N31-N35-N38,"n.a.")</x:f>
        <x:v>35871.563546094345</x:v>
      </x:c>
      <x:c r="O36" s="60" t="n">
        <x:f>IF(AND(ISNUMBER(O34),ISNUMBER(O31),ISNUMBER(O35),ISNUMBER(O38)),O34-O31-O35-O38,"n.a.")</x:f>
        <x:v>33806.063546094345</x:v>
      </x:c>
      <x:c r="P36" s="60" t="n">
        <x:f>IF(AND(ISNUMBER(P34),ISNUMBER(P31),ISNUMBER(P35),ISNUMBER(P38)),P34-P31-P35-P38,"n.a.")</x:f>
        <x:v>35871.563546094345</x:v>
      </x:c>
      <x:c r="Q36" s="60" t="n">
        <x:f>IF(AND(ISNUMBER(Q34),ISNUMBER(Q31),ISNUMBER(Q35),ISNUMBER(Q38)),Q34-Q31-Q35-Q38,"n.a.")</x:f>
        <x:v>33806.063546094345</x:v>
      </x:c>
      <x:c r="R36" s="60" t="n">
        <x:f>IF(AND(ISNUMBER(R34),ISNUMBER(R31),ISNUMBER(R35),ISNUMBER(R38)),R34-R31-R35-R38,"n.a.")</x:f>
        <x:v>25199.813546094334</x:v>
      </x:c>
    </x:row>
    <x:row r="37" ht="21" customHeight="1">
      <x:c r="A37" s="2"/>
      <x:c r="B37" s="2"/>
      <x:c r="C37" s="2" t="str">
        <x:v>Ending operating cash</x:v>
      </x:c>
      <x:c r="D37" s="2"/>
      <x:c r="E37" s="2"/>
      <x:c r="F37" s="2"/>
      <x:c r="G37" s="61" t="n">
        <x:f>IF(AND(ISNUMBER('Assumptions'!$D$22),ISNUMBER(G36)),'Assumptions'!$D$22+G36,"n.a.")</x:f>
        <x:v>230541.43333333335</x:v>
      </x:c>
      <x:c r="H37" s="60" t="n">
        <x:f>IF(AND(ISNUMBER(G37),ISNUMBER(H36)),G37+H36,"n.a.")</x:f>
        <x:v>265558.1166666667</x:v>
      </x:c>
      <x:c r="I37" s="60" t="n">
        <x:f>IF(AND(ISNUMBER(H37),ISNUMBER(I36)),H37+I36,"n.a.")</x:f>
        <x:v>306771.30000000005</x:v>
      </x:c>
      <x:c r="J37" s="60" t="n">
        <x:f>IF(AND(ISNUMBER(I37),ISNUMBER(J36)),I37+J36,"n.a.")</x:f>
        <x:v>345918.9833333334</x:v>
      </x:c>
      <x:c r="K37" s="60" t="n">
        <x:f>IF(AND(ISNUMBER(J37),ISNUMBER(K36)),J37+K36,"n.a.")</x:f>
        <x:v>387132.16666666674</x:v>
      </x:c>
      <x:c r="L37" s="60" t="n">
        <x:f>IF(AND(ISNUMBER(K37),ISNUMBER(L36)),K37+L36,"n.a.")</x:f>
        <x:v>426279.8500000001</x:v>
      </x:c>
      <x:c r="M37" s="60" t="n">
        <x:f>IF(AND(ISNUMBER(L37),ISNUMBER(M36)),L37+M36,"n.a.")</x:f>
        <x:v>304651.41354609444</x:v>
      </x:c>
      <x:c r="N37" s="60" t="n">
        <x:f>IF(AND(ISNUMBER(M37),ISNUMBER(N36)),M37+N36,"n.a.")</x:f>
        <x:v>340522.9770921888</x:v>
      </x:c>
      <x:c r="O37" s="60" t="n">
        <x:f>IF(AND(ISNUMBER(N37),ISNUMBER(O36)),N37+O36,"n.a.")</x:f>
        <x:v>374329.0406382831</x:v>
      </x:c>
      <x:c r="P37" s="60" t="n">
        <x:f>IF(AND(ISNUMBER(O37),ISNUMBER(P36)),O37+P36,"n.a.")</x:f>
        <x:v>410200.6041843775</x:v>
      </x:c>
      <x:c r="Q37" s="60" t="n">
        <x:f>IF(AND(ISNUMBER(P37),ISNUMBER(Q36)),P37+Q36,"n.a.")</x:f>
        <x:v>444006.6677304718</x:v>
      </x:c>
      <x:c r="R37" s="60" t="n">
        <x:f>IF(AND(ISNUMBER(Q37),ISNUMBER(R36)),Q37+R36,"n.a.")</x:f>
        <x:v>469206.48127656616</x:v>
      </x:c>
    </x:row>
    <x:row r="38" ht="21" customHeight="1">
      <x:c r="A38" s="2"/>
      <x:c r="B38" s="2"/>
      <x:c r="C38" s="2" t="str">
        <x:v>Maturity principal cash repayment</x:v>
      </x:c>
      <x:c r="D38" s="2"/>
      <x:c r="E38" s="2"/>
      <x:c r="F38" s="2"/>
      <x:c r="G38" s="61" t="n">
        <x:f>IF(AND(ISNUMBER('Assumptions'!$D$40),ISNUMBER(G29),ISNUMBER(G32)),IF(1='Assumptions'!$D$40,G29-G32,0),"n.a.")</x:f>
        <x:v>0</x:v>
      </x:c>
      <x:c r="H38" s="61" t="n">
        <x:f>IF(AND(ISNUMBER('Assumptions'!$D$40),ISNUMBER(H29),ISNUMBER(H32)),IF(2='Assumptions'!$D$40,H29-H32,0),"n.a.")</x:f>
        <x:v>0</x:v>
      </x:c>
      <x:c r="I38" s="61" t="n">
        <x:f>IF(AND(ISNUMBER('Assumptions'!$D$40),ISNUMBER(I29),ISNUMBER(I32)),IF(3='Assumptions'!$D$40,I29-I32,0),"n.a.")</x:f>
        <x:v>0</x:v>
      </x:c>
      <x:c r="J38" s="61" t="n">
        <x:f>IF(AND(ISNUMBER('Assumptions'!$D$40),ISNUMBER(J29),ISNUMBER(J32)),IF(4='Assumptions'!$D$40,J29-J32,0),"n.a.")</x:f>
        <x:v>0</x:v>
      </x:c>
      <x:c r="K38" s="61" t="n">
        <x:f>IF(AND(ISNUMBER('Assumptions'!$D$40),ISNUMBER(K29),ISNUMBER(K32)),IF(5='Assumptions'!$D$40,K29-K32,0),"n.a.")</x:f>
        <x:v>0</x:v>
      </x:c>
      <x:c r="L38" s="61" t="n">
        <x:f>IF(AND(ISNUMBER('Assumptions'!$D$40),ISNUMBER(L29),ISNUMBER(L32)),IF(6='Assumptions'!$D$40,L29-L32,0),"n.a.")</x:f>
        <x:v>0</x:v>
      </x:c>
      <x:c r="M38" s="61" t="n">
        <x:f>IF(AND(ISNUMBER('Assumptions'!$D$40),ISNUMBER(M29),ISNUMBER(M32)),IF(7='Assumptions'!$D$40,M29-M32,0),"n.a.")</x:f>
        <x:v>0</x:v>
      </x:c>
      <x:c r="N38" s="61" t="n">
        <x:f>IF(AND(ISNUMBER('Assumptions'!$D$40),ISNUMBER(N29),ISNUMBER(N32)),IF(8='Assumptions'!$D$40,N29-N32,0),"n.a.")</x:f>
        <x:v>0</x:v>
      </x:c>
      <x:c r="O38" s="61" t="n">
        <x:f>IF(AND(ISNUMBER('Assumptions'!$D$40),ISNUMBER(O29),ISNUMBER(O32)),IF(9='Assumptions'!$D$40,O29-O32,0),"n.a.")</x:f>
        <x:v>0</x:v>
      </x:c>
      <x:c r="P38" s="61" t="n">
        <x:f>IF(AND(ISNUMBER('Assumptions'!$D$40),ISNUMBER(P29),ISNUMBER(P32)),IF(10='Assumptions'!$D$40,P29-P32,0),"n.a.")</x:f>
        <x:v>0</x:v>
      </x:c>
      <x:c r="Q38" s="61" t="n">
        <x:f>IF(AND(ISNUMBER('Assumptions'!$D$40),ISNUMBER(Q29),ISNUMBER(Q32)),IF(11='Assumptions'!$D$40,Q29-Q32,0),"n.a.")</x:f>
        <x:v>0</x:v>
      </x:c>
      <x:c r="R38" s="61" t="n">
        <x:f>IF(AND(ISNUMBER('Assumptions'!$D$40),ISNUMBER(R29),ISNUMBER(R32)),IF(12='Assumptions'!$D$40,R29-R32,0),"n.a.")</x:f>
        <x:v>0</x:v>
      </x:c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</x:row>
    <x:row r="40" ht="21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</x:row>
    <x:row r="42" ht="21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</x:row>
    <x:row r="43" ht="21" customHeight="1">
      <x:c r="A43" s="2"/>
      <x:c r="B43" s="2"/>
      <x:c r="C43" s="2" t="str">
        <x:v>First-year scheduled debt service</x:v>
      </x:c>
      <x:c r="D43" s="52" t="n">
        <x:f>IF(AND(ISNUMBER(G31),ISNUMBER(R31)),IF(COUNT(G31:R31)=12,SUM(G31:R31),"n.a."),"n.a.")</x:f>
        <x:v>292049.718723434</x:v>
      </x:c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</x:row>
    <x:row r="44" ht="21" customHeight="1">
      <x:c r="A44" s="2"/>
      <x:c r="B44" s="2"/>
      <x:c r="C44" s="2" t="str">
        <x:v>Underwritten NCF / actual year-one DS</x:v>
      </x:c>
      <x:c r="D44" s="62" t="n">
        <x:f>IF(AND(ISNUMBER(D43),ISNUMBER(D9)),IF(D43=0,"n.a.",D9/D43),"n.a.")</x:f>
        <x:v>2.563797024947861</x:v>
      </x:c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</x:row>
    <x:row r="45" ht="21" customHeight="1">
      <x:c r="A45" s="2"/>
      <x:c r="B45" s="2"/>
      <x:c r="C45" s="2" t="str">
        <x:v>Year-end scheduled principal</x:v>
      </x:c>
      <x:c r="D45" s="52" t="n">
        <x:f>IF(AND(ISNUMBER(R33)),R33,"n.a.")</x:f>
        <x:v>3967513.127415196</x:v>
      </x:c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</x:row>
    <x:row r="46" ht="21" customHeight="1">
      <x:c r="A46" s="2"/>
      <x:c r="B46" s="2"/>
      <x:c r="C46" s="2" t="str">
        <x:v>Extra cash to prevent negative balance</x:v>
      </x:c>
      <x:c r="D46" s="52" t="n">
        <x:f>IF(AND(ISNUMBER(G37),ISNUMBER(R37)),IF(COUNT(G37:R37)=12,MAX(0,-MIN(G37:R37)),"n.a."),"n.a.")</x:f>
        <x:v>0</x:v>
      </x:c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</x:row>
    <x:row r="47" ht="21" customHeight="1">
      <x:c r="A47" s="2"/>
      <x:c r="B47" s="2"/>
      <x:c r="C47" s="2" t="str">
        <x:v>Outside equity after operating shortfall</x:v>
      </x:c>
      <x:c r="D47" s="52" t="n">
        <x:f>IF(AND(ISNUMBER(D19),ISNUMBER(D46)),D19-D46,"n.a.")</x:f>
        <x:v>850000</x:v>
      </x:c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</x:row>
    <x:row r="48" ht="21" customHeight="1">
      <x:c r="A48" s="2"/>
      <x:c r="B48" s="2"/>
      <x:c r="C48" s="2" t="str">
        <x:v>Year-end operating cash</x:v>
      </x:c>
      <x:c r="D48" s="52" t="n">
        <x:f>IF(AND(ISNUMBER(R37)),R37,"n.a.")</x:f>
        <x:v>469206.48127656616</x:v>
      </x:c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</x:row>
    <x:row r="49" ht="21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</x:row>
    <x:row r="51" ht="21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</x:row>
    <x:row r="52" ht="21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21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21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21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21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21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21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21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21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21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21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</x:sheetData>
  <x:conditionalFormatting sqref="G37:R38">
    <x:cfRule type="cellIs" dxfId="1" priority="1" operator="lessThan">
      <x:formula>0</x:formula>
    </x:cfRule>
  </x:conditionalFormatting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.5" hidden="0" customWidth="1"/>
    <x:col min="2" max="2" width="2.5" hidden="0" customWidth="1"/>
    <x:col min="3" max="3" width="60" hidden="0" customWidth="1"/>
    <x:col min="4" max="4" width="20" hidden="0" customWidth="1"/>
    <x:col min="5" max="5" width="3" hidden="0" customWidth="1"/>
    <x:col min="6" max="6" width="3" hidden="0" customWidth="1"/>
    <x:col min="7" max="7" width="70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</x:cols>
  <x:sheetData>
    <x:row r="1" ht="21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1" customHeight="1">
      <x:c r="A2" s="2"/>
      <x:c r="B2" s="2"/>
      <x:c r="C2" s="3" t="str">
        <x:v>Model checks and conventions</x:v>
      </x:c>
      <x:c r="D2" s="2"/>
      <x:c r="E2" s="2"/>
      <x:c r="F2" s="2"/>
      <x:c r="G2" s="2"/>
      <x:c r="H2" s="2"/>
      <x:c r="I2" s="2"/>
      <x:c r="J2" s="2"/>
    </x:row>
    <x:row r="3" ht="21" customHeight="1">
      <x:c r="A3" s="2"/>
      <x:c r="B3" s="2"/>
      <x:c r="C3" s="4"/>
      <x:c r="D3" s="4"/>
      <x:c r="E3" s="4"/>
      <x:c r="F3" s="4"/>
      <x:c r="G3" s="4"/>
      <x:c r="H3" s="4"/>
      <x:c r="I3" s="4"/>
      <x:c r="J3" s="4"/>
      <x:c r="K3" s="5"/>
      <x:c r="L3" s="5"/>
      <x:c r="M3" s="5"/>
      <x:c r="N3" s="5"/>
      <x:c r="O3" s="5"/>
      <x:c r="P3" s="5"/>
      <x:c r="Q3" s="5"/>
      <x:c r="R3" s="5"/>
    </x:row>
    <x:row r="4" ht="21" customHeight="1">
      <x:c r="A4" s="2"/>
      <x:c r="B4" s="2"/>
      <x:c r="C4" s="2"/>
      <x:c r="D4" s="2"/>
      <x:c r="E4" s="2"/>
      <x:c r="F4" s="2"/>
      <x:c r="G4" s="2"/>
      <x:c r="H4" s="2"/>
      <x:c r="I4" s="2"/>
      <x:c r="J4" s="2"/>
    </x:row>
    <x:row r="5" ht="21" customHeight="1">
      <x:c r="A5" s="2"/>
      <x:c r="B5" s="2"/>
      <x:c r="C5" s="2" t="str">
        <x:v>Case selected</x:v>
      </x:c>
      <x:c r="D5" s="9" t="str">
        <x:f>'Assumptions'!D6</x:f>
        <x:v>Base</x:v>
      </x:c>
      <x:c r="E5" s="2"/>
      <x:c r="F5" s="2"/>
      <x:c r="G5" s="2"/>
      <x:c r="H5" s="2"/>
      <x:c r="I5" s="2"/>
      <x:c r="J5" s="2"/>
    </x:row>
    <x:row r="6" ht="21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</x:row>
    <x:row r="7" ht="21" customHeight="1">
      <x:c r="A7" s="2"/>
      <x:c r="B7" s="2"/>
      <x:c r="C7" s="2" t="str">
        <x:v>Differences should equal 0.00. Missing data remains unavailable.</x:v>
      </x:c>
      <x:c r="D7" s="2"/>
      <x:c r="E7" s="2"/>
      <x:c r="F7" s="2"/>
      <x:c r="G7" s="2"/>
      <x:c r="H7" s="2"/>
      <x:c r="I7" s="2"/>
      <x:c r="J7" s="2"/>
    </x:row>
    <x:row r="8" ht="21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</x:row>
    <x:row r="9" ht="30" customHeight="1">
      <x:c r="A9" s="2"/>
      <x:c r="B9" s="2"/>
      <x:c r="C9" s="21" t="str">
        <x:v>Check</x:v>
      </x:c>
      <x:c r="D9" s="21" t="str">
        <x:v>Difference / count</x:v>
      </x:c>
      <x:c r="E9" s="2"/>
      <x:c r="F9" s="2"/>
      <x:c r="G9" s="2"/>
      <x:c r="H9" s="2"/>
      <x:c r="I9" s="2"/>
      <x:c r="J9" s="2"/>
    </x:row>
    <x:row r="10" ht="21" customHeight="1">
      <x:c r="A10" s="2"/>
      <x:c r="B10" s="2"/>
      <x:c r="C10" s="2" t="str">
        <x:v>Selected scalar input failures</x:v>
      </x:c>
      <x:c r="D10" s="71" t="n">
        <x:f>23-COUNT('Assumptions'!$D$10,'Assumptions'!$D$13,'Assumptions'!$D$16,'Assumptions'!$D$19,'Assumptions'!$D$22,'Assumptions'!$D$25,'Assumptions'!$D$28,'Assumptions'!$D$31,'Assumptions'!$D$34,'Assumptions'!$D$37,'Assumptions'!$D$40,'Assumptions'!$D$43,'Assumptions'!$D$46,'Assumptions'!$D$49,'Assumptions'!$D$52,'Assumptions'!$D$55,'Assumptions'!$D$58,'Assumptions'!$D$61,'Assumptions'!$D$64,'Assumptions'!$D$67,'Assumptions'!$D$70,'Assumptions'!$D$73,'Assumptions'!$D$76)</x:f>
        <x:v>0</x:v>
      </x:c>
      <x:c r="E10" s="2"/>
      <x:c r="F10" s="2"/>
      <x:c r="G10" s="2"/>
      <x:c r="H10" s="2"/>
      <x:c r="I10" s="2"/>
      <x:c r="J10" s="2"/>
    </x:row>
    <x:row r="11" ht="21" customHeight="1">
      <x:c r="A11" s="2"/>
      <x:c r="B11" s="2"/>
      <x:c r="C11" s="2" t="str">
        <x:v>Source rows needing correction</x:v>
      </x:c>
      <x:c r="D11" s="71" t="n">
        <x:f>COUNTIFS('Permits and Transient Parking'!N10:N21,"Missing / invalid input")</x:f>
        <x:v>0</x:v>
      </x:c>
      <x:c r="E11" s="2"/>
      <x:c r="F11" s="2"/>
      <x:c r="G11" s="2"/>
      <x:c r="H11" s="2"/>
      <x:c r="I11" s="2"/>
      <x:c r="J11" s="2"/>
    </x:row>
    <x:row r="12" ht="21" customHeight="1">
      <x:c r="A12" s="2"/>
      <x:c r="B12" s="2"/>
      <x:c r="C12" s="2" t="str">
        <x:v>NOI cash-cost reconciliation</x:v>
      </x:c>
      <x:c r="D12" s="71" t="n">
        <x:f>IF(AND(ISNUMBER('Operations'!E21),ISNUMBER('Operations'!E16),ISNUMBER('Operations'!E20)),'Operations'!E21-'Operations'!E16+'Operations'!E20,"n.a.")</x:f>
        <x:v>1.1641532182693481e-10</x:v>
      </x:c>
      <x:c r="E12" s="2"/>
      <x:c r="F12" s="2"/>
      <x:c r="G12" s="2"/>
      <x:c r="H12" s="2"/>
      <x:c r="I12" s="2"/>
      <x:c r="J12" s="2"/>
    </x:row>
    <x:row r="13" ht="21" customHeight="1">
      <x:c r="A13" s="2"/>
      <x:c r="B13" s="2"/>
      <x:c r="C13" s="2" t="str">
        <x:v>NCF reserve reconciliation</x:v>
      </x:c>
      <x:c r="D13" s="71" t="n">
        <x:f>IF(AND(ISNUMBER('Operations'!E23),ISNUMBER('Operations'!E21),ISNUMBER('Operations'!E22)),'Operations'!E23-'Operations'!E21+'Operations'!E22,"n.a.")</x:f>
        <x:v>-1.2369127944111824e-10</x:v>
      </x:c>
      <x:c r="E13" s="2"/>
      <x:c r="F13" s="2"/>
      <x:c r="G13" s="2"/>
      <x:c r="H13" s="2"/>
      <x:c r="I13" s="2"/>
      <x:c r="J13" s="2"/>
    </x:row>
    <x:row r="14" ht="21" customHeight="1">
      <x:c r="A14" s="2"/>
      <x:c r="B14" s="2"/>
      <x:c r="C14" s="2" t="str">
        <x:v>Debt principal conservation</x:v>
      </x:c>
      <x:c r="D14" s="71" t="n">
        <x:f>IF(COUNT('Debt and Funding'!G32:R32)=12,'Debt and Funding'!D14-SUM('Debt and Funding'!G32:R32)-SUM('Debt and Funding'!G38:R38)-'Debt and Funding'!D45,"n.a.")</x:f>
        <x:v>4.656612873077393e-10</x:v>
      </x:c>
      <x:c r="E14" s="2"/>
      <x:c r="F14" s="2"/>
      <x:c r="G14" s="2"/>
      <x:c r="H14" s="2"/>
      <x:c r="I14" s="2"/>
      <x:c r="J14" s="2"/>
    </x:row>
    <x:row r="15" ht="21" customHeight="1">
      <x:c r="A15" s="2"/>
      <x:c r="B15" s="2"/>
      <x:c r="C15" s="2" t="str">
        <x:v>Operating cash conservation</x:v>
      </x:c>
      <x:c r="D15" s="71" t="n">
        <x:f>IF(COUNT('Debt and Funding'!G34:R36)=36,'Debt and Funding'!R37-'Assumptions'!$D$22-SUM('Debt and Funding'!G34:R34)+SUM('Debt and Funding'!G31:R31)+SUM('Debt and Funding'!G35:R35)+SUM('Debt and Funding'!G38:R38),"n.a.")</x:f>
        <x:v>3.4924596548080444e-10</x:v>
      </x:c>
      <x:c r="E15" s="2"/>
      <x:c r="F15" s="2"/>
      <x:c r="G15" s="2"/>
      <x:c r="H15" s="2"/>
      <x:c r="I15" s="2"/>
      <x:c r="J15" s="2"/>
    </x:row>
    <x:row r="16" ht="21" customHeight="1">
      <x:c r="A16" s="2"/>
      <x:c r="B16" s="2"/>
      <x:c r="C16" s="2" t="str">
        <x:v>Closing sources less uses</x:v>
      </x:c>
      <x:c r="D16" s="71" t="n">
        <x:f>IF(AND(ISNUMBER('Debt and Funding'!D14),ISNUMBER('Debt and Funding'!D18),ISNUMBER('Debt and Funding'!D17)),'Debt and Funding'!D14+'Debt and Funding'!D18-'Debt and Funding'!D17,"n.a.")</x:f>
        <x:v>0</x:v>
      </x:c>
      <x:c r="E16" s="2"/>
      <x:c r="F16" s="2"/>
      <x:c r="G16" s="2"/>
      <x:c r="H16" s="2"/>
      <x:c r="I16" s="2"/>
      <x:c r="J16" s="2"/>
    </x:row>
    <x:row r="17" ht="21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1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1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1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1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1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1" customHeight="1">
      <x:c r="A23" s="2"/>
      <x:c r="B23" s="2"/>
      <x:c r="C23" s="2" t="str">
        <x:v>Permit-reserved spaces are excluded from transient inventory for the entire month,</x:v>
      </x:c>
      <x:c r="D23" s="2"/>
      <x:c r="E23" s="2"/>
      <x:c r="F23" s="2"/>
      <x:c r="G23" s="2"/>
      <x:c r="H23" s="2"/>
      <x:c r="I23" s="2"/>
      <x:c r="J23" s="2"/>
    </x:row>
    <x:row r="24" ht="21" customHeight="1">
      <x:c r="A24" s="2"/>
      <x:c r="B24" s="2"/>
      <x:c r="C24" s="2" t="str">
        <x:v>including unpaid permit spaces. No after-hours sharing or overselling is credited.</x:v>
      </x:c>
      <x:c r="D24" s="2"/>
      <x:c r="E24" s="2"/>
      <x:c r="F24" s="2"/>
      <x:c r="G24" s="2"/>
      <x:c r="H24" s="2"/>
      <x:c r="I24" s="2"/>
      <x:c r="J24" s="2"/>
    </x:row>
    <x:row r="25" ht="21" customHeight="1">
      <x:c r="A25" s="2"/>
      <x:c r="B25" s="2"/>
      <x:c r="C25" s="2" t="str">
        <x:v>Physical capacity must reflect closures and inaccessible stalls.</x:v>
      </x:c>
      <x:c r="D25" s="2"/>
      <x:c r="E25" s="2"/>
      <x:c r="F25" s="2"/>
      <x:c r="G25" s="2"/>
      <x:c r="H25" s="2"/>
      <x:c r="I25" s="2"/>
      <x:c r="J25" s="2"/>
    </x:row>
    <x:row r="26" ht="21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1" customHeight="1">
      <x:c r="A27" s="2"/>
      <x:c r="B27" s="2"/>
      <x:c r="C27" s="2" t="str">
        <x:v>Transient receipts use separate spaces times visits per space per open day times</x:v>
      </x:c>
      <x:c r="D27" s="2"/>
      <x:c r="E27" s="2"/>
      <x:c r="F27" s="2"/>
      <x:c r="G27" s="2"/>
      <x:c r="H27" s="2"/>
      <x:c r="I27" s="2"/>
      <x:c r="J27" s="2"/>
    </x:row>
    <x:row r="28" ht="21" customHeight="1">
      <x:c r="A28" s="2"/>
      <x:c r="B28" s="2"/>
      <x:c r="C28" s="2" t="str">
        <x:v>operating days times paying utilization. Visits are a turnover assumption, not</x:v>
      </x:c>
      <x:c r="D28" s="2"/>
      <x:c r="E28" s="2"/>
      <x:c r="F28" s="2"/>
      <x:c r="G28" s="2"/>
      <x:c r="H28" s="2"/>
      <x:c r="I28" s="2"/>
      <x:c r="J28" s="2"/>
    </x:row>
    <x:row r="29" ht="21" customHeight="1">
      <x:c r="A29" s="2"/>
      <x:c r="B29" s="2"/>
      <x:c r="C29" s="2" t="str">
        <x:v>occupancy. Operating days cannot exceed the selected calendar month.</x:v>
      </x:c>
      <x:c r="D29" s="2"/>
      <x:c r="E29" s="2"/>
      <x:c r="F29" s="2"/>
      <x:c r="G29" s="2"/>
      <x:c r="H29" s="2"/>
      <x:c r="I29" s="2"/>
      <x:c r="J29" s="2"/>
    </x:row>
    <x:row r="30" ht="21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  <x:row r="31" ht="21" customHeight="1">
      <x:c r="A31" s="2"/>
      <x:c r="B31" s="2"/>
      <x:c r="C31" s="2" t="str">
        <x:v>Scope is direct facility operating cash after an entered operator management fee. It is</x:v>
      </x:c>
      <x:c r="D31" s="2"/>
      <x:c r="E31" s="2"/>
      <x:c r="F31" s="2"/>
      <x:c r="G31" s="2"/>
      <x:c r="H31" s="2"/>
      <x:c r="I31" s="2"/>
      <x:c r="J31" s="2"/>
    </x:row>
    <x:row r="32" ht="21" customHeight="1">
      <x:c r="A32" s="2"/>
      <x:c r="B32" s="2"/>
      <x:c r="C32" s="2" t="str">
        <x:v>not rent under a third-party operating lease. Permit and transient receipts should be</x:v>
      </x:c>
      <x:c r="D32" s="2"/>
      <x:c r="E32" s="2"/>
      <x:c r="F32" s="2"/>
      <x:c r="G32" s="2"/>
      <x:c r="H32" s="2"/>
      <x:c r="I32" s="2"/>
      <x:c r="J32" s="2"/>
    </x:row>
    <x:row r="33" ht="21" customHeight="1">
      <x:c r="A33" s="2"/>
      <x:c r="B33" s="2"/>
      <x:c r="C33" s="2" t="str">
        <x:v>net of taxes held for remittance, with taxes and pass-throughs reconciled separately.</x:v>
      </x:c>
      <x:c r="D33" s="2"/>
      <x:c r="E33" s="2"/>
      <x:c r="F33" s="2"/>
      <x:c r="G33" s="2"/>
      <x:c r="H33" s="2"/>
      <x:c r="I33" s="2"/>
      <x:c r="J33" s="2"/>
    </x:row>
    <x:row r="34" ht="21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</x:row>
    <x:row r="35" ht="21" customHeight="1">
      <x:c r="A35" s="2"/>
      <x:c r="B35" s="2"/>
      <x:c r="C35" s="2" t="str">
        <x:v>Servicing costs and the operator fee must cover distinct obligations; do not add payroll</x:v>
      </x:c>
      <x:c r="D35" s="2"/>
      <x:c r="E35" s="2"/>
      <x:c r="F35" s="2"/>
      <x:c r="G35" s="2"/>
      <x:c r="H35" s="2"/>
      <x:c r="I35" s="2"/>
      <x:c r="J35" s="2"/>
    </x:row>
    <x:row r="36" ht="21" customHeight="1">
      <x:c r="A36" s="2"/>
      <x:c r="B36" s="2"/>
      <x:c r="C36" s="2" t="str">
        <x:v>already included in a full-service fee. Fixed expenses and structural capital remain</x:v>
      </x:c>
      <x:c r="D36" s="2"/>
      <x:c r="E36" s="2"/>
      <x:c r="F36" s="2"/>
      <x:c r="G36" s="2"/>
      <x:c r="H36" s="2"/>
      <x:c r="I36" s="2"/>
      <x:c r="J36" s="2"/>
    </x:row>
    <x:row r="37" ht="21" customHeight="1">
      <x:c r="A37" s="2"/>
      <x:c r="B37" s="2"/>
      <x:c r="C37" s="2" t="str">
        <x:v>separately funded. Access rights, concessions, accessibility and inspection obligations</x:v>
      </x:c>
      <x:c r="D37" s="2"/>
      <x:c r="E37" s="2"/>
      <x:c r="F37" s="2"/>
      <x:c r="G37" s="2"/>
      <x:c r="H37" s="2"/>
      <x:c r="I37" s="2"/>
      <x:c r="J37" s="2"/>
    </x:row>
    <x:row r="38" ht="21" customHeight="1">
      <x:c r="A38" s="2"/>
      <x:c r="B38" s="2"/>
      <x:c r="C38" s="2" t="str">
        <x:v>require property-specific evidence.</x:v>
      </x:c>
      <x:c r="D38" s="2"/>
      <x:c r="E38" s="2"/>
      <x:c r="F38" s="2"/>
      <x:c r="G38" s="2"/>
      <x:c r="H38" s="2"/>
      <x:c r="I38" s="2"/>
      <x:c r="J38" s="2"/>
    </x:row>
    <x:row r="39" ht="21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</x:row>
    <x:row r="40" ht="21" customHeight="1">
      <x:c r="A40" s="2"/>
      <x:c r="B40" s="2"/>
      <x:c r="C40" s="2" t="str">
        <x:v>Published by Jaken Finance Group. 833-264-7776 | info@jakenfinancegroup.com.</x:v>
      </x:c>
      <x:c r="D40" s="2"/>
      <x:c r="E40" s="2"/>
      <x:c r="F40" s="2"/>
      <x:c r="G40" s="2"/>
      <x:c r="H40" s="2"/>
      <x:c r="I40" s="2"/>
      <x:c r="J40" s="2"/>
    </x:row>
    <x:row r="41" ht="21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</x:row>
    <x:row r="42" ht="21" customHeight="1">
      <x:c r="A42" s="2"/>
      <x:c r="B42" s="2"/>
      <x:c r="C42" s="2" t="str">
        <x:v>Every numerical assumption is illustrative. No current market quote, legal conclusion or</x:v>
      </x:c>
      <x:c r="D42" s="2"/>
      <x:c r="E42" s="2"/>
      <x:c r="F42" s="2"/>
      <x:c r="G42" s="2"/>
      <x:c r="H42" s="2"/>
      <x:c r="I42" s="2"/>
      <x:c r="J42" s="2"/>
    </x:row>
    <x:row r="43" ht="21" customHeight="1">
      <x:c r="A43" s="2"/>
      <x:c r="B43" s="2"/>
      <x:c r="C43" s="2" t="str">
        <x:v>lender eligibility is represented.</x:v>
      </x:c>
      <x:c r="D43" s="2"/>
      <x:c r="E43" s="2"/>
      <x:c r="F43" s="2"/>
      <x:c r="G43" s="2"/>
      <x:c r="H43" s="2"/>
      <x:c r="I43" s="2"/>
      <x:c r="J43" s="2"/>
    </x:row>
    <x:row r="44" ht="21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</x:row>
    <x:row r="45" ht="21" customHeight="1">
      <x:c r="A45" s="2"/>
      <x:c r="B45" s="2"/>
      <x:c r="C45" s="2" t="str">
        <x:v>NCF is a modeled cash measure after cash reserve deposits. An actual lender may adjust</x:v>
      </x:c>
      <x:c r="D45" s="2"/>
      <x:c r="E45" s="2"/>
      <x:c r="F45" s="2"/>
      <x:c r="G45" s="2"/>
      <x:c r="H45" s="2"/>
      <x:c r="I45" s="2"/>
      <x:c r="J45" s="2"/>
    </x:row>
    <x:row r="46" ht="21" customHeight="1">
      <x:c r="A46" s="2"/>
      <x:c r="B46" s="2"/>
      <x:c r="C46" s="2" t="str">
        <x:v>income, expenses, reserves, tax and business cash differently.</x:v>
      </x:c>
      <x:c r="D46" s="2"/>
      <x:c r="E46" s="2"/>
      <x:c r="F46" s="2"/>
      <x:c r="G46" s="2"/>
      <x:c r="H46" s="2"/>
      <x:c r="I46" s="2"/>
      <x:c r="J46" s="2"/>
    </x:row>
    <x:row r="47" ht="21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</x:row>
    <x:row r="48" ht="21" customHeight="1">
      <x:c r="A48" s="2"/>
      <x:c r="B48" s="2"/>
      <x:c r="C48" s="2" t="str">
        <x:v>No tax return, appraisal, legal compliance, guaranty capacity or refinancing approval is</x:v>
      </x:c>
      <x:c r="D48" s="2"/>
      <x:c r="E48" s="2"/>
      <x:c r="F48" s="2"/>
      <x:c r="G48" s="2"/>
      <x:c r="H48" s="2"/>
      <x:c r="I48" s="2"/>
      <x:c r="J48" s="2"/>
    </x:row>
    <x:row r="49" ht="21" customHeight="1">
      <x:c r="A49" s="2"/>
      <x:c r="B49" s="2"/>
      <x:c r="C49" s="2" t="str">
        <x:v>established by the calculations.</x:v>
      </x:c>
      <x:c r="D49" s="2"/>
      <x:c r="E49" s="2"/>
      <x:c r="F49" s="2"/>
      <x:c r="G49" s="2"/>
      <x:c r="H49" s="2"/>
      <x:c r="I49" s="2"/>
      <x:c r="J49" s="2"/>
    </x:row>
    <x:row r="50" ht="21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</x:row>
    <x:row r="51" ht="21" customHeight="1">
      <x:c r="A51" s="2"/>
      <x:c r="B51" s="2"/>
      <x:c r="C51" s="2" t="str">
        <x:v>Calculation methods and conventions are shown here. Check Review and replace</x:v>
      </x:c>
      <x:c r="D51" s="2"/>
      <x:c r="E51" s="2"/>
      <x:c r="F51" s="2"/>
      <x:c r="G51" s="2"/>
      <x:c r="H51" s="2"/>
      <x:c r="I51" s="2"/>
      <x:c r="J51" s="2"/>
    </x:row>
    <x:row r="52" ht="21" customHeight="1">
      <x:c r="A52" s="2"/>
      <x:c r="B52" s="2"/>
      <x:c r="C52" s="2" t="str">
        <x:v>illustrative inputs before relying on results.</x:v>
      </x:c>
      <x:c r="D52" s="2"/>
      <x:c r="E52" s="2"/>
      <x:c r="F52" s="2"/>
      <x:c r="G52" s="2"/>
      <x:c r="H52" s="2"/>
      <x:c r="I52" s="2"/>
      <x:c r="J52" s="2"/>
    </x:row>
    <x:row r="53" ht="21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21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21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</x:row>
    <x:row r="56" ht="21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</x:row>
    <x:row r="57" ht="21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</x:row>
    <x:row r="58" ht="21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</x:row>
    <x:row r="59" ht="21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</x:row>
    <x:row r="60" ht="21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conditionalFormatting sqref="D10:D16">
    <x:cfRule type="expression" dxfId="5" priority="1">
      <x:formula>ABS(D10)&gt;0.01</x:formula>
    </x:cfRule>
  </x:conditionalFormatting>
  <x:pageMargins left="0.7" right="0.7" top="0.75" bottom="0.75" header="0.3" footer="0.3"/>
</x:worksheet>
</file>