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ab8333dc6f42f2" /></Relationships>
</file>

<file path=xl/workbook.xml><?xml version="1.0" encoding="utf-8"?>
<x:workbook xmlns:x="http://schemas.openxmlformats.org/spreadsheetml/2006/main">
  <x:sheets>
    <x:sheet xmlns:r="http://schemas.openxmlformats.org/officeDocument/2006/relationships" name="Summary" sheetId="1" r:id="Rb744781073da4d7c"/>
    <x:sheet xmlns:r="http://schemas.openxmlformats.org/officeDocument/2006/relationships" name="Assumptions" sheetId="2" r:id="R63b92b036a6441bd"/>
    <x:sheet xmlns:r="http://schemas.openxmlformats.org/officeDocument/2006/relationships" name="Sales Channels" sheetId="3" r:id="R7cee321db22c4989"/>
    <x:sheet xmlns:r="http://schemas.openxmlformats.org/officeDocument/2006/relationships" name="Operations" sheetId="4" r:id="R6ef2f0aa96954258"/>
    <x:sheet xmlns:r="http://schemas.openxmlformats.org/officeDocument/2006/relationships" name="Debt and Funding" sheetId="5" r:id="R30f3fb18b3db445a"/>
    <x:sheet xmlns:r="http://schemas.openxmlformats.org/officeDocument/2006/relationships" name="Review" sheetId="6" r:id="R2144fe6f80a242e0"/>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6f279d93ed04f0c" /><Relationship Type="http://schemas.openxmlformats.org/officeDocument/2006/relationships/theme" Target="/xl/theme/theme1.xml" Id="R4362e57434884a57" /><Relationship Type="http://schemas.openxmlformats.org/officeDocument/2006/relationships/sharedStrings" Target="/xl/sharedStrings.xml" Id="R475722e81f654aa0" /><Relationship Type="http://schemas.openxmlformats.org/officeDocument/2006/relationships/worksheet" Target="/xl/worksheets/sheet1.xml" Id="Rb744781073da4d7c" /><Relationship Type="http://schemas.openxmlformats.org/officeDocument/2006/relationships/worksheet" Target="/xl/worksheets/sheet2.xml" Id="R63b92b036a6441bd" /><Relationship Type="http://schemas.openxmlformats.org/officeDocument/2006/relationships/worksheet" Target="/xl/worksheets/sheet3.xml" Id="R7cee321db22c4989" /><Relationship Type="http://schemas.openxmlformats.org/officeDocument/2006/relationships/worksheet" Target="/xl/worksheets/sheet4.xml" Id="R6ef2f0aa96954258" /><Relationship Type="http://schemas.openxmlformats.org/officeDocument/2006/relationships/worksheet" Target="/xl/worksheets/sheet5.xml" Id="R30f3fb18b3db445a" /><Relationship Type="http://schemas.openxmlformats.org/officeDocument/2006/relationships/worksheet" Target="/xl/worksheets/sheet6.xml" Id="R2144fe6f80a242e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Restaurant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'Operations'!E19</x:f>
        <x:v>2340000</x:v>
      </x:c>
      <x:c r="E10" s="2"/>
      <x:c r="F10" s="2"/>
      <x:c r="G10" s="68" t="n">
        <x:f>'Operations'!G9</x:f>
        <x:v>46388</x:v>
      </x:c>
      <x:c r="H10" s="69" t="n">
        <x:f>'Debt and Funding'!G36</x:f>
        <x:v>10228.333333333332</x:v>
      </x:c>
      <x:c r="I10" s="69" t="n">
        <x:f>'Debt and Funding'!G37</x:f>
        <x:v>110228.33333333333</x:v>
      </x:c>
      <x:c r="J10" s="69" t="n">
        <x:f>'Debt and Funding'!G33</x:f>
        <x:v>1300000</x:v>
      </x:c>
      <x:c r="K10" s="2"/>
      <x:c r="L10" s="2"/>
    </x:row>
    <x:row r="11" ht="21" customHeight="1">
      <x:c r="A11" s="2"/>
      <x:c r="B11" s="2"/>
      <x:c r="C11" s="2" t="str">
        <x:v>Operating and other cash obligations</x:v>
      </x:c>
      <x:c r="D11" s="50" t="n">
        <x:f>'Operations'!E27</x:f>
        <x:v>2132760</x:v>
      </x:c>
      <x:c r="E11" s="2"/>
      <x:c r="F11" s="2"/>
      <x:c r="G11" s="68" t="n">
        <x:f>'Operations'!H9</x:f>
        <x:v>46419</x:v>
      </x:c>
      <x:c r="H11" s="69" t="n">
        <x:f>'Debt and Funding'!H36</x:f>
        <x:v>10228.333333333332</x:v>
      </x:c>
      <x:c r="I11" s="69" t="n">
        <x:f>'Debt and Funding'!H37</x:f>
        <x:v>120456.66666666666</x:v>
      </x:c>
      <x:c r="J11" s="69" t="n">
        <x:f>'Debt and Funding'!H33</x:f>
        <x:v>1300000</x:v>
      </x:c>
      <x:c r="K11" s="2"/>
      <x:c r="L11" s="2"/>
    </x:row>
    <x:row r="12" ht="21" customHeight="1">
      <x:c r="A12" s="2"/>
      <x:c r="B12" s="2"/>
      <x:c r="C12" s="2" t="str">
        <x:v>Combined cash after business obligations</x:v>
      </x:c>
      <x:c r="D12" s="50" t="n">
        <x:f>'Operations'!E28</x:f>
        <x:v>207240</x:v>
      </x:c>
      <x:c r="E12" s="2"/>
      <x:c r="F12" s="2"/>
      <x:c r="G12" s="68" t="n">
        <x:f>'Operations'!I9</x:f>
        <x:v>46447</x:v>
      </x:c>
      <x:c r="H12" s="69" t="n">
        <x:f>'Debt and Funding'!I36</x:f>
        <x:v>10228.333333333332</x:v>
      </x:c>
      <x:c r="I12" s="69" t="n">
        <x:f>'Debt and Funding'!I37</x:f>
        <x:v>130684.99999999999</x:v>
      </x:c>
      <x:c r="J12" s="69" t="n">
        <x:f>'Debt and Funding'!I33</x:f>
        <x:v>1300000</x:v>
      </x:c>
      <x:c r="K12" s="2"/>
      <x:c r="L12" s="2"/>
    </x:row>
    <x:row r="13" ht="21" customHeight="1">
      <x:c r="A13" s="2"/>
      <x:c r="B13" s="2"/>
      <x:c r="C13" s="2" t="str">
        <x:v>Annual reserve deposits</x:v>
      </x:c>
      <x:c r="D13" s="50" t="n">
        <x:f>'Operations'!E29</x:f>
        <x:v>0</x:v>
      </x:c>
      <x:c r="E13" s="2"/>
      <x:c r="F13" s="2"/>
      <x:c r="G13" s="68" t="n">
        <x:f>'Operations'!J9</x:f>
        <x:v>46478</x:v>
      </x:c>
      <x:c r="H13" s="69" t="n">
        <x:f>'Debt and Funding'!J36</x:f>
        <x:v>10228.333333333332</x:v>
      </x:c>
      <x:c r="I13" s="69" t="n">
        <x:f>'Debt and Funding'!J37</x:f>
        <x:v>140913.3333333333</x:v>
      </x:c>
      <x:c r="J13" s="69" t="n">
        <x:f>'Debt and Funding'!J33</x:f>
        <x:v>1300000</x:v>
      </x:c>
      <x:c r="K13" s="2"/>
      <x:c r="L13" s="2"/>
    </x:row>
    <x:row r="14" ht="21" customHeight="1">
      <x:c r="A14" s="2"/>
      <x:c r="B14" s="2"/>
      <x:c r="C14" s="2" t="str">
        <x:v>Cash NCF before debt and capital</x:v>
      </x:c>
      <x:c r="D14" s="50" t="n">
        <x:f>'Operations'!E30</x:f>
        <x:v>207240</x:v>
      </x:c>
      <x:c r="E14" s="2"/>
      <x:c r="F14" s="2"/>
      <x:c r="G14" s="68" t="n">
        <x:f>'Operations'!K9</x:f>
        <x:v>46508</x:v>
      </x:c>
      <x:c r="H14" s="69" t="n">
        <x:f>'Debt and Funding'!K36</x:f>
        <x:v>10228.333333333332</x:v>
      </x:c>
      <x:c r="I14" s="69" t="n">
        <x:f>'Debt and Funding'!K37</x:f>
        <x:v>151141.66666666666</x:v>
      </x:c>
      <x:c r="J14" s="69" t="n">
        <x:f>'Debt and Funding'!K33</x:f>
        <x:v>1300000</x:v>
      </x:c>
      <x:c r="K14" s="2"/>
      <x:c r="L14" s="2"/>
    </x:row>
    <x:row r="15" ht="21" customHeight="1">
      <x:c r="A15" s="2"/>
      <x:c r="B15" s="2"/>
      <x:c r="C15" s="2" t="str">
        <x:v>Residual cash used for sizing</x:v>
      </x:c>
      <x:c r="D15" s="50" t="n">
        <x:f>'Debt and Funding'!D9</x:f>
        <x:v>207240</x:v>
      </x:c>
      <x:c r="E15" s="2"/>
      <x:c r="F15" s="2"/>
      <x:c r="G15" s="68" t="n">
        <x:f>'Operations'!L9</x:f>
        <x:v>46539</x:v>
      </x:c>
      <x:c r="H15" s="69" t="n">
        <x:f>'Debt and Funding'!L36</x:f>
        <x:v>10228.333333333332</x:v>
      </x:c>
      <x:c r="I15" s="69" t="n">
        <x:f>'Debt and Funding'!L37</x:f>
        <x:v>161370</x:v>
      </x:c>
      <x:c r="J15" s="69" t="n">
        <x:f>'Debt and Funding'!L33</x:f>
        <x:v>1300000</x:v>
      </x:c>
      <x:c r="K15" s="2"/>
      <x:c r="L15" s="2"/>
    </x:row>
    <x:row r="16" ht="21" customHeight="1">
      <x:c r="A16" s="2"/>
      <x:c r="B16" s="2"/>
      <x:c r="C16" s="2" t="str">
        <x:v>DSCR loan capacity</x:v>
      </x:c>
      <x:c r="D16" s="50" t="n">
        <x:f>'Debt and Funding'!D11</x:f>
        <x:v>2046186.8284134804</x:v>
      </x:c>
      <x:c r="E16" s="2"/>
      <x:c r="F16" s="2"/>
      <x:c r="G16" s="68" t="n">
        <x:f>'Operations'!M9</x:f>
        <x:v>46569</x:v>
      </x:c>
      <x:c r="H16" s="69" t="n">
        <x:f>'Debt and Funding'!M36</x:f>
        <x:v>8492.30690248066</x:v>
      </x:c>
      <x:c r="I16" s="69" t="n">
        <x:f>'Debt and Funding'!M37</x:f>
        <x:v>169862.30690248066</x:v>
      </x:c>
      <x:c r="J16" s="69" t="n">
        <x:f>'Debt and Funding'!M33</x:f>
        <x:v>1298263.9735691473</x:v>
      </x:c>
      <x:c r="K16" s="2"/>
      <x:c r="L16" s="2"/>
    </x:row>
    <x:row r="17" ht="21" customHeight="1">
      <x:c r="A17" s="2"/>
      <x:c r="B17" s="2"/>
      <x:c r="C17" s="2" t="str">
        <x:v>LTV loan capacity</x:v>
      </x:c>
      <x:c r="D17" s="50" t="n">
        <x:f>'Debt and Funding'!D12</x:f>
        <x:v>1365000</x:v>
      </x:c>
      <x:c r="E17" s="2"/>
      <x:c r="F17" s="2"/>
      <x:c r="G17" s="68" t="n">
        <x:f>'Operations'!N9</x:f>
        <x:v>46600</x:v>
      </x:c>
      <x:c r="H17" s="69" t="n">
        <x:f>'Debt and Funding'!N36</x:f>
        <x:v>-81507.69309751934</x:v>
      </x:c>
      <x:c r="I17" s="69" t="n">
        <x:f>'Debt and Funding'!N37</x:f>
        <x:v>88354.61380496132</x:v>
      </x:c>
      <x:c r="J17" s="69" t="n">
        <x:f>'Debt and Funding'!N33</x:f>
        <x:v>1296518.5436617942</x:v>
      </x:c>
      <x:c r="K17" s="2"/>
      <x:c r="L17" s="2"/>
    </x:row>
    <x:row r="18" ht="21" customHeight="1">
      <x:c r="A18" s="2"/>
      <x:c r="B18" s="2"/>
      <x:c r="C18" s="2" t="str">
        <x:v>Debt-yield loan capacity</x:v>
      </x:c>
      <x:c r="D18" s="50" t="n">
        <x:f>'Debt and Funding'!D13</x:f>
        <x:v>2302666.666666667</x:v>
      </x:c>
      <x:c r="E18" s="2"/>
      <x:c r="F18" s="2"/>
      <x:c r="G18" s="68" t="n">
        <x:f>'Operations'!O9</x:f>
        <x:v>46631</x:v>
      </x:c>
      <x:c r="H18" s="69" t="n">
        <x:f>'Debt and Funding'!O36</x:f>
        <x:v>8492.30690248066</x:v>
      </x:c>
      <x:c r="I18" s="69" t="n">
        <x:f>'Debt and Funding'!O37</x:f>
        <x:v>96846.92070744198</x:v>
      </x:c>
      <x:c r="J18" s="69" t="n">
        <x:f>'Debt and Funding'!O33</x:f>
        <x:v>1294763.6593424429</x:v>
      </x:c>
      <x:c r="K18" s="2"/>
      <x:c r="L18" s="2"/>
    </x:row>
    <x:row r="19" ht="21" customHeight="1">
      <x:c r="A19" s="2"/>
      <x:c r="B19" s="2"/>
      <x:c r="C19" s="56" t="str">
        <x:v>Sized loan</x:v>
      </x:c>
      <x:c r="D19" s="65" t="n">
        <x:f>'Debt and Funding'!D14</x:f>
        <x:v>1300000</x:v>
      </x:c>
      <x:c r="E19" s="2"/>
      <x:c r="F19" s="2"/>
      <x:c r="G19" s="68" t="n">
        <x:f>'Operations'!P9</x:f>
        <x:v>46661</x:v>
      </x:c>
      <x:c r="H19" s="69" t="n">
        <x:f>'Debt and Funding'!P36</x:f>
        <x:v>8492.30690248066</x:v>
      </x:c>
      <x:c r="I19" s="69" t="n">
        <x:f>'Debt and Funding'!P37</x:f>
        <x:v>105339.22760992264</x:v>
      </x:c>
      <x:c r="J19" s="69" t="n">
        <x:f>'Debt and Funding'!P33</x:f>
        <x:v>1292999.269399695</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8492.30690248066</x:v>
      </x:c>
      <x:c r="I20" s="69" t="n">
        <x:f>'Debt and Funding'!Q37</x:f>
        <x:v>113831.5345124033</x:v>
      </x:c>
      <x:c r="J20" s="69" t="n">
        <x:f>'Debt and Funding'!Q33</x:f>
        <x:v>1291225.3223447574</x:v>
      </x:c>
      <x:c r="K20" s="2"/>
      <x:c r="L20" s="2"/>
    </x:row>
    <x:row r="21" ht="21" customHeight="1">
      <x:c r="A21" s="2"/>
      <x:c r="B21" s="2"/>
      <x:c r="C21" s="2" t="str">
        <x:v>First-year debt service</x:v>
      </x:c>
      <x:c r="D21" s="50" t="n">
        <x:f>'Debt and Funding'!D43</x:f>
        <x:v>94916.15858511603</x:v>
      </x:c>
      <x:c r="E21" s="2"/>
      <x:c r="F21" s="2"/>
      <x:c r="G21" s="68" t="n">
        <x:f>'Operations'!R9</x:f>
        <x:v>46722</x:v>
      </x:c>
      <x:c r="H21" s="69" t="n">
        <x:f>'Debt and Funding'!R36</x:f>
        <x:v>8492.30690248066</x:v>
      </x:c>
      <x:c r="I21" s="69" t="n">
        <x:f>'Debt and Funding'!R37</x:f>
        <x:v>122323.84141488397</x:v>
      </x:c>
      <x:c r="J21" s="69" t="n">
        <x:f>'Debt and Funding'!R33</x:f>
        <x:v>1289441.766409939</x:v>
      </x:c>
      <x:c r="K21" s="2"/>
      <x:c r="L21" s="2"/>
    </x:row>
    <x:row r="22" ht="21" customHeight="1">
      <x:c r="A22" s="2"/>
      <x:c r="B22" s="2"/>
      <x:c r="C22" s="2" t="str">
        <x:v>Residual cash / property debt service</x:v>
      </x:c>
      <x:c r="D22" s="67" t="n">
        <x:f>'Debt and Funding'!D44</x:f>
        <x:v>2.1834006252387215</x:v>
      </x:c>
      <x:c r="E22" s="2"/>
      <x:c r="F22" s="2"/>
      <x:c r="G22" s="2"/>
      <x:c r="H22" s="2"/>
      <x:c r="I22" s="2"/>
      <x:c r="J22" s="2"/>
      <x:c r="K22" s="2"/>
      <x:c r="L22" s="2"/>
    </x:row>
    <x:row r="23" ht="21" customHeight="1">
      <x:c r="A23" s="2"/>
      <x:c r="B23" s="2"/>
      <x:c r="C23" s="2" t="str">
        <x:v>Signed closing equity requirement</x:v>
      </x:c>
      <x:c r="D23" s="50" t="n">
        <x:f>'Debt and Funding'!D18</x:f>
        <x:v>795000</x:v>
      </x:c>
      <x:c r="E23" s="2"/>
      <x:c r="F23" s="2"/>
      <x:c r="G23" s="2"/>
      <x:c r="H23" s="2"/>
      <x:c r="I23" s="2"/>
      <x:c r="J23" s="2"/>
      <x:c r="K23" s="2"/>
      <x:c r="L23" s="2"/>
    </x:row>
    <x:row r="24" ht="21" customHeight="1">
      <x:c r="A24" s="2"/>
      <x:c r="B24" s="2"/>
      <x:c r="C24" s="2" t="str">
        <x:v>Available equity less closing need</x:v>
      </x:c>
      <x:c r="D24" s="50" t="n">
        <x:f>'Debt and Funding'!D19</x:f>
        <x:v>205000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205000</x:v>
      </x:c>
      <x:c r="E26" s="2"/>
      <x:c r="F26" s="2"/>
      <x:c r="G26" s="2"/>
      <x:c r="H26" s="2"/>
      <x:c r="I26" s="2"/>
      <x:c r="J26" s="2"/>
      <x:c r="K26" s="2"/>
      <x:c r="L26" s="2"/>
    </x:row>
    <x:row r="27" ht="21" customHeight="1">
      <x:c r="A27" s="2"/>
      <x:c r="B27" s="2"/>
      <x:c r="C27" s="2" t="str">
        <x:v>Year-end principal</x:v>
      </x:c>
      <x:c r="D27" s="50" t="n">
        <x:f>'Debt and Funding'!D45</x:f>
        <x:v>1289441.766409939</x:v>
      </x:c>
      <x:c r="E27" s="2"/>
      <x:c r="F27" s="2"/>
      <x:c r="G27" s="2" t="str">
        <x:v>Edit blue cells in Sales Channels and Assumptions.</x:v>
      </x:c>
      <x:c r="H27" s="2"/>
      <x:c r="I27" s="2"/>
      <x:c r="J27" s="2"/>
      <x:c r="K27" s="2"/>
      <x:c r="L27" s="2"/>
    </x:row>
    <x:row r="28" ht="21" customHeight="1">
      <x:c r="A28" s="2"/>
      <x:c r="B28" s="2"/>
      <x:c r="C28" s="2" t="str">
        <x:v>Principal due at maturity</x:v>
      </x:c>
      <x:c r="D28" s="50" t="n">
        <x:f>'Debt and Funding'!D20</x:f>
        <x:v>1191442.5965914982</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2100000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2100000</x:v>
      </x:c>
      <x:c r="E11" s="2"/>
      <x:c r="F11" s="2"/>
      <x:c r="G11" s="2"/>
      <x:c r="H11" s="2"/>
      <x:c r="I11" s="2"/>
      <x:c r="J11" s="2"/>
    </x:row>
    <x:row r="12" ht="35" customHeight="1">
      <x:c r="A12" s="2"/>
      <x:c r="B12" s="2"/>
      <x:c r="C12" s="28" t="str">
        <x:v>Downside</x:v>
      </x:c>
      <x:c r="D12" s="27" t="n">
        <x:v>1750000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1900000</x:v>
      </x:c>
      <x:c r="E13" s="22" t="str">
        <x:v>USD</x:v>
      </x:c>
      <x:c r="F13" s="2"/>
      <x:c r="G13" s="2"/>
      <x:c r="H13" s="2"/>
      <x:c r="I13" s="2"/>
      <x:c r="J13" s="2"/>
    </x:row>
    <x:row r="14" ht="35" customHeight="1">
      <x:c r="A14" s="2"/>
      <x:c r="B14" s="2"/>
      <x:c r="C14" s="28" t="str">
        <x:v>Base</x:v>
      </x:c>
      <x:c r="D14" s="27" t="n">
        <x:v>1900000</x:v>
      </x:c>
      <x:c r="E14" s="2"/>
      <x:c r="F14" s="2"/>
      <x:c r="G14" s="42" t="str">
        <x:v>Downside inputs feed the same model. Change D5 to recalculate.</x:v>
      </x:c>
      <x:c r="H14" s="2"/>
      <x:c r="I14" s="2"/>
      <x:c r="J14" s="2"/>
    </x:row>
    <x:row r="15" ht="21" customHeight="1">
      <x:c r="A15" s="2"/>
      <x:c r="B15" s="2"/>
      <x:c r="C15" s="28" t="str">
        <x:v>Downside</x:v>
      </x:c>
      <x:c r="D15" s="27" t="n">
        <x:v>1900000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57000</x:v>
      </x:c>
      <x:c r="E16" s="22" t="str">
        <x:v>USD</x:v>
      </x:c>
      <x:c r="F16" s="2"/>
      <x:c r="G16" s="42" t="str">
        <x:v>NCF adjustment changes sizing only, not cash actually available.</x:v>
      </x:c>
      <x:c r="H16" s="2"/>
      <x:c r="I16" s="2"/>
      <x:c r="J16" s="2"/>
    </x:row>
    <x:row r="17" ht="21" customHeight="1">
      <x:c r="A17" s="2"/>
      <x:c r="B17" s="2"/>
      <x:c r="C17" s="28" t="str">
        <x:v>Base</x:v>
      </x:c>
      <x:c r="D17" s="27" t="n">
        <x:v>57000</x:v>
      </x:c>
      <x:c r="E17" s="2"/>
      <x:c r="F17" s="2"/>
      <x:c r="G17" s="2"/>
      <x:c r="H17" s="2"/>
      <x:c r="I17" s="2"/>
      <x:c r="J17" s="2"/>
    </x:row>
    <x:row r="18" ht="35" customHeight="1">
      <x:c r="A18" s="2"/>
      <x:c r="B18" s="2"/>
      <x:c r="C18" s="28" t="str">
        <x:v>Downside</x:v>
      </x:c>
      <x:c r="D18" s="27" t="n">
        <x:v>57000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38000</x:v>
      </x:c>
      <x:c r="E19" s="22" t="str">
        <x:v>USD</x:v>
      </x:c>
      <x:c r="F19" s="2"/>
      <x:c r="G19" s="2"/>
      <x:c r="H19" s="2"/>
      <x:c r="I19" s="2"/>
      <x:c r="J19" s="2"/>
    </x:row>
    <x:row r="20" ht="35" customHeight="1">
      <x:c r="A20" s="2"/>
      <x:c r="B20" s="2"/>
      <x:c r="C20" s="28" t="str">
        <x:v>Base</x:v>
      </x:c>
      <x:c r="D20" s="27" t="n">
        <x:v>38000</x:v>
      </x:c>
      <x:c r="E20" s="2"/>
      <x:c r="F20" s="2"/>
      <x:c r="G20" s="42" t="str">
        <x:v>Restricted closing reserves are not available operating cash.</x:v>
      </x:c>
      <x:c r="H20" s="2"/>
      <x:c r="I20" s="2"/>
      <x:c r="J20" s="2"/>
    </x:row>
    <x:row r="21" ht="21" customHeight="1">
      <x:c r="A21" s="2"/>
      <x:c r="B21" s="2"/>
      <x:c r="C21" s="28" t="str">
        <x:v>Downside</x:v>
      </x:c>
      <x:c r="D21" s="27" t="n">
        <x:v>38000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100000</x:v>
      </x:c>
      <x:c r="E22" s="22" t="str">
        <x:v>USD</x:v>
      </x:c>
      <x:c r="F22" s="2"/>
      <x:c r="G22" s="42" t="str">
        <x:v>Opening operating cash is funded in closing uses exactly once.</x:v>
      </x:c>
      <x:c r="H22" s="2"/>
      <x:c r="I22" s="2"/>
      <x:c r="J22" s="2"/>
    </x:row>
    <x:row r="23" ht="21" customHeight="1">
      <x:c r="A23" s="2"/>
      <x:c r="B23" s="2"/>
      <x:c r="C23" s="28" t="str">
        <x:v>Base</x:v>
      </x:c>
      <x:c r="D23" s="27" t="n">
        <x:v>100000</x:v>
      </x:c>
      <x:c r="E23" s="2"/>
      <x:c r="F23" s="2"/>
      <x:c r="G23" s="2"/>
      <x:c r="H23" s="2"/>
      <x:c r="I23" s="2"/>
      <x:c r="J23" s="2"/>
    </x:row>
    <x:row r="24" ht="35" customHeight="1">
      <x:c r="A24" s="2"/>
      <x:c r="B24" s="2"/>
      <x:c r="C24" s="28" t="str">
        <x:v>Downside</x:v>
      </x:c>
      <x:c r="D24" s="27" t="n">
        <x:v>100000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1000000</x:v>
      </x:c>
      <x:c r="E25" s="22" t="str">
        <x:v>USD</x:v>
      </x:c>
      <x:c r="F25" s="2"/>
      <x:c r="G25" s="2"/>
      <x:c r="H25" s="2"/>
      <x:c r="I25" s="2"/>
      <x:c r="J25" s="2"/>
    </x:row>
    <x:row r="26" ht="21" customHeight="1">
      <x:c r="A26" s="2"/>
      <x:c r="B26" s="2"/>
      <x:c r="C26" s="28" t="str">
        <x:v>Base</x:v>
      </x:c>
      <x:c r="D26" s="27" t="n">
        <x:v>1000000</x:v>
      </x:c>
      <x:c r="E26" s="2"/>
      <x:c r="F26" s="2"/>
      <x:c r="G26" s="2"/>
      <x:c r="H26" s="2"/>
      <x:c r="I26" s="2"/>
      <x:c r="J26" s="2"/>
    </x:row>
    <x:row r="27" ht="21" customHeight="1">
      <x:c r="A27" s="2"/>
      <x:c r="B27" s="2"/>
      <x:c r="C27" s="28" t="str">
        <x:v>Downside</x:v>
      </x:c>
      <x:c r="D27" s="27" t="n">
        <x:v>1000000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1300000</x:v>
      </x:c>
      <x:c r="E28" s="22" t="str">
        <x:v>USD</x:v>
      </x:c>
      <x:c r="F28" s="2"/>
      <x:c r="G28" s="2"/>
      <x:c r="H28" s="2"/>
      <x:c r="I28" s="2"/>
      <x:c r="J28" s="2"/>
    </x:row>
    <x:row r="29" ht="21" customHeight="1">
      <x:c r="A29" s="2"/>
      <x:c r="B29" s="2"/>
      <x:c r="C29" s="28" t="str">
        <x:v>Base</x:v>
      </x:c>
      <x:c r="D29" s="27" t="n">
        <x:v>1300000</x:v>
      </x:c>
      <x:c r="E29" s="2"/>
      <x:c r="F29" s="2"/>
      <x:c r="G29" s="2"/>
      <x:c r="H29" s="2"/>
      <x:c r="I29" s="2"/>
      <x:c r="J29" s="2"/>
    </x:row>
    <x:row r="30" ht="75" customHeight="1">
      <x:c r="A30" s="2"/>
      <x:c r="B30" s="2"/>
      <x:c r="C30" s="28" t="str">
        <x:v>Downside</x:v>
      </x:c>
      <x:c r="D30" s="27" t="n">
        <x:v>1300000</x:v>
      </x:c>
      <x:c r="E30" s="2"/>
      <x:c r="F30" s="2"/>
      <x:c r="G30" s="42" t="str">
        <x:v>Channel sales exclude sales taxes and employee tips. All sales collect in the current month; platform fees are deducted once as costs, not again from the delivery input. Refunds can create negative net receipts.</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Food fraction is consumption cost. The separate signed inventory/payables cash use bridges purchases to consumption; a negative value releases cash. Royalties use gross sales only as the entered illustrative contract convention.</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Combined cash is an operating-business and property measure, not property NOI. Other business debt, taxes/distributions and maintenance capital are deducted once before the residual property-debt proxy.</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Related-party rent is shown and eliminated. External property costs exclude mortgage debt and must not also appear in business operating inputs. No intercompany transfer permission is established.</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Maintenance capital is deducted before sizing. Additional expansion/property capital is deducted below residual cash. Do not enter the same cost in both places.</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All amounts are fictional. Residual coverage, value and cash tests do not establish bank DSCR, program eligibility, business value or a loan commitment.</x:v>
      </x:c>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Total supported monthly order capacity</x:v>
      </x:c>
      <x:c r="D88" s="37" t="n">
        <x:f>IF($D$5=1,IF(ISNUMBER(D89),IF(AND(D89&gt;=0,D89&lt;=1000000000000),D89,"n.a."),"n.a."),IF($D$5=2,IF(ISNUMBER(D90),IF(AND(D90&gt;=0,D90&lt;=1000000000000),D90,"n.a."),"n.a."),"n.a."))</x:f>
        <x:v>7500</x:v>
      </x:c>
      <x:c r="E88" s="22" t="str">
        <x:v>orders</x:v>
      </x:c>
      <x:c r="F88" s="2"/>
      <x:c r="G88" s="2"/>
      <x:c r="H88" s="2"/>
      <x:c r="I88" s="2"/>
      <x:c r="J88" s="2"/>
    </x:row>
    <x:row r="89" ht="21" customHeight="1">
      <x:c r="A89" s="2"/>
      <x:c r="B89" s="2"/>
      <x:c r="C89" s="28" t="str">
        <x:v>Base</x:v>
      </x:c>
      <x:c r="D89" s="16" t="n">
        <x:v>7500</x:v>
      </x:c>
      <x:c r="E89" s="2"/>
      <x:c r="F89" s="2"/>
      <x:c r="G89" s="2"/>
      <x:c r="H89" s="2"/>
      <x:c r="I89" s="2"/>
      <x:c r="J89" s="2"/>
    </x:row>
    <x:row r="90" ht="21" customHeight="1">
      <x:c r="A90" s="2"/>
      <x:c r="B90" s="2"/>
      <x:c r="C90" s="28" t="str">
        <x:v>Downside</x:v>
      </x:c>
      <x:c r="D90" s="16" t="n">
        <x:v>7500</x:v>
      </x:c>
      <x:c r="E90" s="2"/>
      <x:c r="F90" s="2"/>
      <x:c r="G90" s="2"/>
      <x:c r="H90" s="2"/>
      <x:c r="I90" s="2"/>
      <x:c r="J90" s="2"/>
    </x:row>
    <x:row r="91" ht="21" customHeight="1">
      <x:c r="A91" s="2"/>
      <x:c r="B91" s="2"/>
      <x:c r="C91" s="31" t="str">
        <x:v>Royalty / gross sales</x:v>
      </x:c>
      <x:c r="D91" s="32" t="n">
        <x:f>IF($D$5=1,IF(ISNUMBER(D92),IF(AND(D92&gt;=0,D92&lt;=1),D92,"n.a."),"n.a."),IF($D$5=2,IF(ISNUMBER(D93),IF(AND(D93&gt;=0,D93&lt;=1),D93,"n.a."),"n.a."),"n.a."))</x:f>
        <x:v>0.04</x:v>
      </x:c>
      <x:c r="E91" s="33" t="str">
        <x:v>%</x:v>
      </x:c>
      <x:c r="F91" s="2"/>
      <x:c r="G91" s="2"/>
      <x:c r="H91" s="2"/>
      <x:c r="I91" s="2"/>
      <x:c r="J91" s="2"/>
    </x:row>
    <x:row r="92" ht="21" customHeight="1">
      <x:c r="A92" s="2"/>
      <x:c r="B92" s="2"/>
      <x:c r="C92" s="34" t="str">
        <x:v>Base</x:v>
      </x:c>
      <x:c r="D92" s="35" t="n">
        <x:v>0.04</x:v>
      </x:c>
      <x:c r="E92" s="36"/>
      <x:c r="F92" s="2"/>
      <x:c r="G92" s="2"/>
      <x:c r="H92" s="2"/>
      <x:c r="I92" s="2"/>
      <x:c r="J92" s="2"/>
    </x:row>
    <x:row r="93" ht="21" customHeight="1">
      <x:c r="A93" s="2"/>
      <x:c r="B93" s="2"/>
      <x:c r="C93" s="34" t="str">
        <x:v>Downside</x:v>
      </x:c>
      <x:c r="D93" s="35" t="n">
        <x:v>0.04</x:v>
      </x:c>
      <x:c r="E93" s="36"/>
      <x:c r="F93" s="2"/>
      <x:c r="G93" s="2"/>
      <x:c r="H93" s="2"/>
      <x:c r="I93" s="2"/>
      <x:c r="J93" s="2"/>
    </x:row>
    <x:row r="94" ht="21" customHeight="1">
      <x:c r="A94" s="2"/>
      <x:c r="B94" s="2"/>
      <x:c r="C94" s="24" t="str">
        <x:v>Monthly inventory less payable increase</x:v>
      </x:c>
      <x:c r="D94" s="26" t="n">
        <x:f>IF($D$5=1,IF(ISNUMBER(D95),IF(AND(D95&gt;=-1000000000000,D95&lt;=1000000000000),D95,"n.a."),"n.a."),IF($D$5=2,IF(ISNUMBER(D96),IF(AND(D96&gt;=-1000000000000,D96&lt;=1000000000000),D96,"n.a."),"n.a."),"n.a."))</x:f>
        <x:v>1000</x:v>
      </x:c>
      <x:c r="E94" s="22" t="str">
        <x:v>USD</x:v>
      </x:c>
      <x:c r="F94" s="2"/>
      <x:c r="G94" s="2"/>
      <x:c r="H94" s="2"/>
      <x:c r="I94" s="2"/>
      <x:c r="J94" s="2"/>
    </x:row>
    <x:row r="95" ht="21" customHeight="1">
      <x:c r="A95" s="2"/>
      <x:c r="B95" s="2"/>
      <x:c r="C95" s="28" t="str">
        <x:v>Base</x:v>
      </x:c>
      <x:c r="D95" s="27" t="n">
        <x:v>1000</x:v>
      </x:c>
      <x:c r="E95" s="2"/>
      <x:c r="F95" s="2"/>
      <x:c r="G95" s="2"/>
      <x:c r="H95" s="2"/>
      <x:c r="I95" s="2"/>
      <x:c r="J95" s="2"/>
    </x:row>
    <x:row r="96" ht="21" customHeight="1">
      <x:c r="A96" s="2"/>
      <x:c r="B96" s="2"/>
      <x:c r="C96" s="28" t="str">
        <x:v>Downside</x:v>
      </x:c>
      <x:c r="D96" s="27" t="n">
        <x:v>3500</x:v>
      </x:c>
      <x:c r="E96" s="2"/>
      <x:c r="F96" s="2"/>
      <x:c r="G96" s="2"/>
      <x:c r="H96" s="2"/>
      <x:c r="I96" s="2"/>
      <x:c r="J96" s="2"/>
    </x:row>
    <x:row r="97" ht="21" customHeight="1">
      <x:c r="A97" s="2"/>
      <x:c r="B97" s="2"/>
      <x:c r="C97" s="2"/>
      <x:c r="D97" s="2"/>
      <x:c r="E97" s="2"/>
      <x:c r="F97" s="2"/>
      <x:c r="G97" s="2"/>
      <x:c r="H97" s="2"/>
      <x:c r="I97" s="2"/>
      <x:c r="J97" s="2"/>
    </x:row>
    <x:row r="98" ht="21" customHeight="1">
      <x:c r="A98" s="2"/>
      <x:c r="B98" s="2"/>
      <x:c r="C98" s="2"/>
      <x:c r="D98" s="2"/>
      <x:c r="E98" s="2"/>
      <x:c r="F98" s="2"/>
      <x:c r="G98" s="2"/>
      <x:c r="H98" s="2"/>
      <x:c r="I98" s="2"/>
      <x:c r="J98" s="2"/>
    </x:row>
    <x:row r="99" ht="21" customHeight="1">
      <x:c r="A99" s="2"/>
      <x:c r="B99" s="2"/>
      <x:c r="C99" s="2"/>
      <x:c r="D99" s="2"/>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sheetData>
  <x:dataValidations count="60">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1000000000000</x:formula2>
    </x:dataValidation>
    <x:dataValidation type="decimal" operator="between" sqref="D90">
      <x:formula1>0</x:formula1>
      <x:formula2>1000000000000</x:formula2>
    </x:dataValidation>
    <x:dataValidation type="decimal" operator="between" sqref="D92">
      <x:formula1>0</x:formula1>
      <x:formula2>1</x:formula2>
    </x:dataValidation>
    <x:dataValidation type="decimal" operator="between" sqref="D93">
      <x:formula1>0</x:formula1>
      <x:formula2>1</x:formula2>
    </x:dataValidation>
    <x:dataValidation type="decimal" operator="between" sqref="D95">
      <x:formula1>-1000000000000</x:formula1>
      <x:formula2>1000000000000</x:formula2>
    </x:dataValidation>
    <x:dataValidation type="decimal" operator="between" sqref="D96">
      <x:formula1>-1000000000000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Sales Channels</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Dining/takeaway orders</x:v>
      </x:c>
      <x:c r="E9" s="21" t="str">
        <x:v>Dining average ticket</x:v>
      </x:c>
      <x:c r="F9" s="21" t="str">
        <x:v>Delivery-platform orders</x:v>
      </x:c>
      <x:c r="G9" s="21" t="str">
        <x:v>Delivery average ticket</x:v>
      </x:c>
      <x:c r="H9" s="21" t="str">
        <x:v>Platform fee / delivery sales</x:v>
      </x:c>
      <x:c r="I9" s="21" t="str">
        <x:v>Food consumption / gross sales</x:v>
      </x:c>
      <x:c r="J9" s="21" t="str">
        <x:v>Payroll cash</x:v>
      </x:c>
      <x:c r="K9" s="21" t="str">
        <x:v>Other restaurant cash costs</x:v>
      </x:c>
      <x:c r="L9" s="21" t="str">
        <x:v>Refund cash</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4500</x:v>
      </x:c>
      <x:c r="E10" s="27" t="n">
        <x:v>32</x:v>
      </x:c>
      <x:c r="F10" s="16" t="n">
        <x:v>1800</x:v>
      </x:c>
      <x:c r="G10" s="27" t="n">
        <x:v>29</x:v>
      </x:c>
      <x:c r="H10" s="30" t="n">
        <x:v>0.22</x:v>
      </x:c>
      <x:c r="I10" s="30" t="n">
        <x:v>0.29</x:v>
      </x:c>
      <x:c r="J10" s="27" t="n">
        <x:v>66000</x:v>
      </x:c>
      <x:c r="K10" s="27" t="n">
        <x:v>18000</x:v>
      </x:c>
      <x:c r="L10" s="27" t="n">
        <x:v>1200</x:v>
      </x:c>
      <x:c r="M10" s="27" t="n">
        <x:v>0</x:v>
      </x:c>
      <x:c r="N10" s="13" t="str">
        <x:f>IF(AND(IF(ISNUMBER(D10),AND(D10&gt;=0,D10&lt;=1000000000000),FALSE),IF(ISNUMBER(E10),AND(E10&gt;=0,E10&lt;=1000000000000),FALSE),IF(ISNUMBER(F10),AND(F10&gt;=0,F10&lt;=1000000000000),FALSE),IF(ISNUMBER(G10),AND(G10&gt;=0,G10&lt;=1000000000000),FALSE),IF(ISNUMBER(H10),AND(H10&gt;=0,H10&lt;=1),FALSE),IF(ISNUMBER(I10),AND(I10&gt;=0,I10&lt;=1),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4500</x:v>
      </x:c>
      <x:c r="E11" s="27" t="n">
        <x:v>32</x:v>
      </x:c>
      <x:c r="F11" s="16" t="n">
        <x:v>1800</x:v>
      </x:c>
      <x:c r="G11" s="27" t="n">
        <x:v>29</x:v>
      </x:c>
      <x:c r="H11" s="30" t="n">
        <x:v>0.22</x:v>
      </x:c>
      <x:c r="I11" s="30" t="n">
        <x:v>0.29</x:v>
      </x:c>
      <x:c r="J11" s="27" t="n">
        <x:v>66000</x:v>
      </x:c>
      <x:c r="K11" s="27" t="n">
        <x:v>18000</x:v>
      </x:c>
      <x:c r="L11" s="27" t="n">
        <x:v>1200</x:v>
      </x:c>
      <x:c r="M11" s="27" t="n">
        <x:v>0</x:v>
      </x:c>
      <x:c r="N11" s="13" t="str">
        <x:f>IF(AND(IF(ISNUMBER(D11),AND(D11&gt;=0,D11&lt;=1000000000000),FALSE),IF(ISNUMBER(E11),AND(E11&gt;=0,E11&lt;=1000000000000),FALSE),IF(ISNUMBER(F11),AND(F11&gt;=0,F11&lt;=1000000000000),FALSE),IF(ISNUMBER(G11),AND(G11&gt;=0,G11&lt;=1000000000000),FALSE),IF(ISNUMBER(H11),AND(H11&gt;=0,H11&lt;=1),FALSE),IF(ISNUMBER(I11),AND(I11&gt;=0,I11&lt;=1),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4500</x:v>
      </x:c>
      <x:c r="E12" s="27" t="n">
        <x:v>32</x:v>
      </x:c>
      <x:c r="F12" s="16" t="n">
        <x:v>1800</x:v>
      </x:c>
      <x:c r="G12" s="27" t="n">
        <x:v>29</x:v>
      </x:c>
      <x:c r="H12" s="30" t="n">
        <x:v>0.22</x:v>
      </x:c>
      <x:c r="I12" s="30" t="n">
        <x:v>0.29</x:v>
      </x:c>
      <x:c r="J12" s="27" t="n">
        <x:v>66000</x:v>
      </x:c>
      <x:c r="K12" s="27" t="n">
        <x:v>18000</x:v>
      </x:c>
      <x:c r="L12" s="27" t="n">
        <x:v>1200</x:v>
      </x:c>
      <x:c r="M12" s="27" t="n">
        <x:v>0</x:v>
      </x:c>
      <x:c r="N12" s="13" t="str">
        <x:f>IF(AND(IF(ISNUMBER(D12),AND(D12&gt;=0,D12&lt;=1000000000000),FALSE),IF(ISNUMBER(E12),AND(E12&gt;=0,E12&lt;=1000000000000),FALSE),IF(ISNUMBER(F12),AND(F12&gt;=0,F12&lt;=1000000000000),FALSE),IF(ISNUMBER(G12),AND(G12&gt;=0,G12&lt;=1000000000000),FALSE),IF(ISNUMBER(H12),AND(H12&gt;=0,H12&lt;=1),FALSE),IF(ISNUMBER(I12),AND(I12&gt;=0,I12&lt;=1),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4500</x:v>
      </x:c>
      <x:c r="E13" s="27" t="n">
        <x:v>32</x:v>
      </x:c>
      <x:c r="F13" s="16" t="n">
        <x:v>1800</x:v>
      </x:c>
      <x:c r="G13" s="27" t="n">
        <x:v>29</x:v>
      </x:c>
      <x:c r="H13" s="30" t="n">
        <x:v>0.22</x:v>
      </x:c>
      <x:c r="I13" s="30" t="n">
        <x:v>0.29</x:v>
      </x:c>
      <x:c r="J13" s="27" t="n">
        <x:v>66000</x:v>
      </x:c>
      <x:c r="K13" s="27" t="n">
        <x:v>18000</x:v>
      </x:c>
      <x:c r="L13" s="27" t="n">
        <x:v>1200</x:v>
      </x:c>
      <x:c r="M13" s="27" t="n">
        <x:v>0</x:v>
      </x:c>
      <x:c r="N13" s="13" t="str">
        <x:f>IF(AND(IF(ISNUMBER(D13),AND(D13&gt;=0,D13&lt;=1000000000000),FALSE),IF(ISNUMBER(E13),AND(E13&gt;=0,E13&lt;=1000000000000),FALSE),IF(ISNUMBER(F13),AND(F13&gt;=0,F13&lt;=1000000000000),FALSE),IF(ISNUMBER(G13),AND(G13&gt;=0,G13&lt;=1000000000000),FALSE),IF(ISNUMBER(H13),AND(H13&gt;=0,H13&lt;=1),FALSE),IF(ISNUMBER(I13),AND(I13&gt;=0,I13&lt;=1),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4500</x:v>
      </x:c>
      <x:c r="E14" s="27" t="n">
        <x:v>32</x:v>
      </x:c>
      <x:c r="F14" s="16" t="n">
        <x:v>1800</x:v>
      </x:c>
      <x:c r="G14" s="27" t="n">
        <x:v>29</x:v>
      </x:c>
      <x:c r="H14" s="30" t="n">
        <x:v>0.22</x:v>
      </x:c>
      <x:c r="I14" s="30" t="n">
        <x:v>0.29</x:v>
      </x:c>
      <x:c r="J14" s="27" t="n">
        <x:v>66000</x:v>
      </x:c>
      <x:c r="K14" s="27" t="n">
        <x:v>18000</x:v>
      </x:c>
      <x:c r="L14" s="27" t="n">
        <x:v>1200</x:v>
      </x:c>
      <x:c r="M14" s="27" t="n">
        <x:v>0</x:v>
      </x:c>
      <x:c r="N14" s="13" t="str">
        <x:f>IF(AND(IF(ISNUMBER(D14),AND(D14&gt;=0,D14&lt;=1000000000000),FALSE),IF(ISNUMBER(E14),AND(E14&gt;=0,E14&lt;=1000000000000),FALSE),IF(ISNUMBER(F14),AND(F14&gt;=0,F14&lt;=1000000000000),FALSE),IF(ISNUMBER(G14),AND(G14&gt;=0,G14&lt;=1000000000000),FALSE),IF(ISNUMBER(H14),AND(H14&gt;=0,H14&lt;=1),FALSE),IF(ISNUMBER(I14),AND(I14&gt;=0,I14&lt;=1),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4500</x:v>
      </x:c>
      <x:c r="E15" s="27" t="n">
        <x:v>32</x:v>
      </x:c>
      <x:c r="F15" s="16" t="n">
        <x:v>1800</x:v>
      </x:c>
      <x:c r="G15" s="27" t="n">
        <x:v>29</x:v>
      </x:c>
      <x:c r="H15" s="30" t="n">
        <x:v>0.22</x:v>
      </x:c>
      <x:c r="I15" s="30" t="n">
        <x:v>0.29</x:v>
      </x:c>
      <x:c r="J15" s="27" t="n">
        <x:v>66000</x:v>
      </x:c>
      <x:c r="K15" s="27" t="n">
        <x:v>18000</x:v>
      </x:c>
      <x:c r="L15" s="27" t="n">
        <x:v>1200</x:v>
      </x:c>
      <x:c r="M15" s="27" t="n">
        <x:v>0</x:v>
      </x:c>
      <x:c r="N15" s="13" t="str">
        <x:f>IF(AND(IF(ISNUMBER(D15),AND(D15&gt;=0,D15&lt;=1000000000000),FALSE),IF(ISNUMBER(E15),AND(E15&gt;=0,E15&lt;=1000000000000),FALSE),IF(ISNUMBER(F15),AND(F15&gt;=0,F15&lt;=1000000000000),FALSE),IF(ISNUMBER(G15),AND(G15&gt;=0,G15&lt;=1000000000000),FALSE),IF(ISNUMBER(H15),AND(H15&gt;=0,H15&lt;=1),FALSE),IF(ISNUMBER(I15),AND(I15&gt;=0,I15&lt;=1),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4500</x:v>
      </x:c>
      <x:c r="E16" s="27" t="n">
        <x:v>32</x:v>
      </x:c>
      <x:c r="F16" s="16" t="n">
        <x:v>1800</x:v>
      </x:c>
      <x:c r="G16" s="27" t="n">
        <x:v>29</x:v>
      </x:c>
      <x:c r="H16" s="30" t="n">
        <x:v>0.22</x:v>
      </x:c>
      <x:c r="I16" s="30" t="n">
        <x:v>0.29</x:v>
      </x:c>
      <x:c r="J16" s="27" t="n">
        <x:v>66000</x:v>
      </x:c>
      <x:c r="K16" s="27" t="n">
        <x:v>18000</x:v>
      </x:c>
      <x:c r="L16" s="27" t="n">
        <x:v>1200</x:v>
      </x:c>
      <x:c r="M16" s="27" t="n">
        <x:v>0</x:v>
      </x:c>
      <x:c r="N16" s="13" t="str">
        <x:f>IF(AND(IF(ISNUMBER(D16),AND(D16&gt;=0,D16&lt;=1000000000000),FALSE),IF(ISNUMBER(E16),AND(E16&gt;=0,E16&lt;=1000000000000),FALSE),IF(ISNUMBER(F16),AND(F16&gt;=0,F16&lt;=1000000000000),FALSE),IF(ISNUMBER(G16),AND(G16&gt;=0,G16&lt;=1000000000000),FALSE),IF(ISNUMBER(H16),AND(H16&gt;=0,H16&lt;=1),FALSE),IF(ISNUMBER(I16),AND(I16&gt;=0,I16&lt;=1),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4500</x:v>
      </x:c>
      <x:c r="E17" s="27" t="n">
        <x:v>32</x:v>
      </x:c>
      <x:c r="F17" s="16" t="n">
        <x:v>1800</x:v>
      </x:c>
      <x:c r="G17" s="27" t="n">
        <x:v>29</x:v>
      </x:c>
      <x:c r="H17" s="30" t="n">
        <x:v>0.22</x:v>
      </x:c>
      <x:c r="I17" s="30" t="n">
        <x:v>0.29</x:v>
      </x:c>
      <x:c r="J17" s="27" t="n">
        <x:v>66000</x:v>
      </x:c>
      <x:c r="K17" s="27" t="n">
        <x:v>18000</x:v>
      </x:c>
      <x:c r="L17" s="27" t="n">
        <x:v>1200</x:v>
      </x:c>
      <x:c r="M17" s="27" t="n">
        <x:v>90000</x:v>
      </x:c>
      <x:c r="N17" s="13" t="str">
        <x:f>IF(AND(IF(ISNUMBER(D17),AND(D17&gt;=0,D17&lt;=1000000000000),FALSE),IF(ISNUMBER(E17),AND(E17&gt;=0,E17&lt;=1000000000000),FALSE),IF(ISNUMBER(F17),AND(F17&gt;=0,F17&lt;=1000000000000),FALSE),IF(ISNUMBER(G17),AND(G17&gt;=0,G17&lt;=1000000000000),FALSE),IF(ISNUMBER(H17),AND(H17&gt;=0,H17&lt;=1),FALSE),IF(ISNUMBER(I17),AND(I17&gt;=0,I17&lt;=1),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4500</x:v>
      </x:c>
      <x:c r="E18" s="27" t="n">
        <x:v>32</x:v>
      </x:c>
      <x:c r="F18" s="16" t="n">
        <x:v>1800</x:v>
      </x:c>
      <x:c r="G18" s="27" t="n">
        <x:v>29</x:v>
      </x:c>
      <x:c r="H18" s="30" t="n">
        <x:v>0.22</x:v>
      </x:c>
      <x:c r="I18" s="30" t="n">
        <x:v>0.29</x:v>
      </x:c>
      <x:c r="J18" s="27" t="n">
        <x:v>66000</x:v>
      </x:c>
      <x:c r="K18" s="27" t="n">
        <x:v>18000</x:v>
      </x:c>
      <x:c r="L18" s="27" t="n">
        <x:v>1200</x:v>
      </x:c>
      <x:c r="M18" s="27" t="n">
        <x:v>0</x:v>
      </x:c>
      <x:c r="N18" s="13" t="str">
        <x:f>IF(AND(IF(ISNUMBER(D18),AND(D18&gt;=0,D18&lt;=1000000000000),FALSE),IF(ISNUMBER(E18),AND(E18&gt;=0,E18&lt;=1000000000000),FALSE),IF(ISNUMBER(F18),AND(F18&gt;=0,F18&lt;=1000000000000),FALSE),IF(ISNUMBER(G18),AND(G18&gt;=0,G18&lt;=1000000000000),FALSE),IF(ISNUMBER(H18),AND(H18&gt;=0,H18&lt;=1),FALSE),IF(ISNUMBER(I18),AND(I18&gt;=0,I18&lt;=1),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4500</x:v>
      </x:c>
      <x:c r="E19" s="27" t="n">
        <x:v>32</x:v>
      </x:c>
      <x:c r="F19" s="16" t="n">
        <x:v>1800</x:v>
      </x:c>
      <x:c r="G19" s="27" t="n">
        <x:v>29</x:v>
      </x:c>
      <x:c r="H19" s="30" t="n">
        <x:v>0.22</x:v>
      </x:c>
      <x:c r="I19" s="30" t="n">
        <x:v>0.29</x:v>
      </x:c>
      <x:c r="J19" s="27" t="n">
        <x:v>66000</x:v>
      </x:c>
      <x:c r="K19" s="27" t="n">
        <x:v>18000</x:v>
      </x:c>
      <x:c r="L19" s="27" t="n">
        <x:v>1200</x:v>
      </x:c>
      <x:c r="M19" s="27" t="n">
        <x:v>0</x:v>
      </x:c>
      <x:c r="N19" s="13" t="str">
        <x:f>IF(AND(IF(ISNUMBER(D19),AND(D19&gt;=0,D19&lt;=1000000000000),FALSE),IF(ISNUMBER(E19),AND(E19&gt;=0,E19&lt;=1000000000000),FALSE),IF(ISNUMBER(F19),AND(F19&gt;=0,F19&lt;=1000000000000),FALSE),IF(ISNUMBER(G19),AND(G19&gt;=0,G19&lt;=1000000000000),FALSE),IF(ISNUMBER(H19),AND(H19&gt;=0,H19&lt;=1),FALSE),IF(ISNUMBER(I19),AND(I19&gt;=0,I19&lt;=1),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4500</x:v>
      </x:c>
      <x:c r="E20" s="27" t="n">
        <x:v>32</x:v>
      </x:c>
      <x:c r="F20" s="16" t="n">
        <x:v>1800</x:v>
      </x:c>
      <x:c r="G20" s="27" t="n">
        <x:v>29</x:v>
      </x:c>
      <x:c r="H20" s="30" t="n">
        <x:v>0.22</x:v>
      </x:c>
      <x:c r="I20" s="30" t="n">
        <x:v>0.29</x:v>
      </x:c>
      <x:c r="J20" s="27" t="n">
        <x:v>66000</x:v>
      </x:c>
      <x:c r="K20" s="27" t="n">
        <x:v>18000</x:v>
      </x:c>
      <x:c r="L20" s="27" t="n">
        <x:v>1200</x:v>
      </x:c>
      <x:c r="M20" s="27" t="n">
        <x:v>0</x:v>
      </x:c>
      <x:c r="N20" s="13" t="str">
        <x:f>IF(AND(IF(ISNUMBER(D20),AND(D20&gt;=0,D20&lt;=1000000000000),FALSE),IF(ISNUMBER(E20),AND(E20&gt;=0,E20&lt;=1000000000000),FALSE),IF(ISNUMBER(F20),AND(F20&gt;=0,F20&lt;=1000000000000),FALSE),IF(ISNUMBER(G20),AND(G20&gt;=0,G20&lt;=1000000000000),FALSE),IF(ISNUMBER(H20),AND(H20&gt;=0,H20&lt;=1),FALSE),IF(ISNUMBER(I20),AND(I20&gt;=0,I20&lt;=1),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4500</x:v>
      </x:c>
      <x:c r="E21" s="27" t="n">
        <x:v>32</x:v>
      </x:c>
      <x:c r="F21" s="16" t="n">
        <x:v>1800</x:v>
      </x:c>
      <x:c r="G21" s="27" t="n">
        <x:v>29</x:v>
      </x:c>
      <x:c r="H21" s="30" t="n">
        <x:v>0.22</x:v>
      </x:c>
      <x:c r="I21" s="30" t="n">
        <x:v>0.29</x:v>
      </x:c>
      <x:c r="J21" s="27" t="n">
        <x:v>66000</x:v>
      </x:c>
      <x:c r="K21" s="27" t="n">
        <x:v>18000</x:v>
      </x:c>
      <x:c r="L21" s="27" t="n">
        <x:v>1200</x:v>
      </x:c>
      <x:c r="M21" s="27" t="n">
        <x:v>0</x:v>
      </x:c>
      <x:c r="N21" s="13" t="str">
        <x:f>IF(AND(IF(ISNUMBER(D21),AND(D21&gt;=0,D21&lt;=1000000000000),FALSE),IF(ISNUMBER(E21),AND(E21&gt;=0,E21&lt;=1000000000000),FALSE),IF(ISNUMBER(F21),AND(F21&gt;=0,F21&lt;=1000000000000),FALSE),IF(ISNUMBER(G21),AND(G21&gt;=0,G21&lt;=1000000000000),FALSE),IF(ISNUMBER(H21),AND(H21&gt;=0,H21&lt;=1),FALSE),IF(ISNUMBER(I21),AND(I21&gt;=0,I21&lt;=1),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x:formula2>
    </x:dataValidation>
    <x:dataValidation type="decimal" operator="between" sqref="I10">
      <x:formula1>0</x:formula1>
      <x:formula2>1</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x:formula2>
    </x:dataValidation>
    <x:dataValidation type="decimal" operator="between" sqref="I11">
      <x:formula1>0</x:formula1>
      <x:formula2>1</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x:formula2>
    </x:dataValidation>
    <x:dataValidation type="decimal" operator="between" sqref="I12">
      <x:formula1>0</x:formula1>
      <x:formula2>1</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x:formula2>
    </x:dataValidation>
    <x:dataValidation type="decimal" operator="between" sqref="I13">
      <x:formula1>0</x:formula1>
      <x:formula2>1</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x:formula2>
    </x:dataValidation>
    <x:dataValidation type="decimal" operator="between" sqref="I14">
      <x:formula1>0</x:formula1>
      <x:formula2>1</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x:formula2>
    </x:dataValidation>
    <x:dataValidation type="decimal" operator="between" sqref="I15">
      <x:formula1>0</x:formula1>
      <x:formula2>1</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x:formula2>
    </x:dataValidation>
    <x:dataValidation type="decimal" operator="between" sqref="I16">
      <x:formula1>0</x:formula1>
      <x:formula2>1</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x:formula2>
    </x:dataValidation>
    <x:dataValidation type="decimal" operator="between" sqref="I17">
      <x:formula1>0</x:formula1>
      <x:formula2>1</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x:formula2>
    </x:dataValidation>
    <x:dataValidation type="decimal" operator="between" sqref="I18">
      <x:formula1>0</x:formula1>
      <x:formula2>1</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x:formula2>
    </x:dataValidation>
    <x:dataValidation type="decimal" operator="between" sqref="I19">
      <x:formula1>0</x:formula1>
      <x:formula2>1</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x:formula2>
    </x:dataValidation>
    <x:dataValidation type="decimal" operator="between" sqref="I20">
      <x:formula1>0</x:formula1>
      <x:formula2>1</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x:formula2>
    </x:dataValidation>
    <x:dataValidation type="decimal" operator="between" sqref="I21">
      <x:formula1>0</x:formula1>
      <x:formula2>1</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Orders after demand sensitivity</x:v>
      </x:c>
      <x:c r="D10" s="2" t="str">
        <x:v>orders</x:v>
      </x:c>
      <x:c r="E10" s="49" t="n">
        <x:f>IF(COUNT(G10:R10)=12,SUM(G10:R10),"n.a.")</x:f>
        <x:v>75600</x:v>
      </x:c>
      <x:c r="F10" s="2"/>
      <x:c r="G10" s="48" t="n">
        <x:f>IF(AND('Sales Channels'!N10="OK"),IF(AND(ISNUMBER('Sales Channels'!$D$10),ISNUMBER('Sales Channels'!$F$10),ISNUMBER('Assumptions'!$D$61)),('Sales Channels'!$D$10+'Sales Channels'!$F$10)*'Assumptions'!$D$61,"n.a."),"n.a.")</x:f>
        <x:v>6300</x:v>
      </x:c>
      <x:c r="H10" s="48" t="n">
        <x:f>IF(AND('Sales Channels'!N11="OK"),IF(AND(ISNUMBER('Sales Channels'!$D$11),ISNUMBER('Sales Channels'!$F$11),ISNUMBER('Assumptions'!$D$61)),('Sales Channels'!$D$11+'Sales Channels'!$F$11)*'Assumptions'!$D$61,"n.a."),"n.a.")</x:f>
        <x:v>6300</x:v>
      </x:c>
      <x:c r="I10" s="48" t="n">
        <x:f>IF(AND('Sales Channels'!N12="OK"),IF(AND(ISNUMBER('Sales Channels'!$D$12),ISNUMBER('Sales Channels'!$F$12),ISNUMBER('Assumptions'!$D$61)),('Sales Channels'!$D$12+'Sales Channels'!$F$12)*'Assumptions'!$D$61,"n.a."),"n.a.")</x:f>
        <x:v>6300</x:v>
      </x:c>
      <x:c r="J10" s="48" t="n">
        <x:f>IF(AND('Sales Channels'!N13="OK"),IF(AND(ISNUMBER('Sales Channels'!$D$13),ISNUMBER('Sales Channels'!$F$13),ISNUMBER('Assumptions'!$D$61)),('Sales Channels'!$D$13+'Sales Channels'!$F$13)*'Assumptions'!$D$61,"n.a."),"n.a.")</x:f>
        <x:v>6300</x:v>
      </x:c>
      <x:c r="K10" s="48" t="n">
        <x:f>IF(AND('Sales Channels'!N14="OK"),IF(AND(ISNUMBER('Sales Channels'!$D$14),ISNUMBER('Sales Channels'!$F$14),ISNUMBER('Assumptions'!$D$61)),('Sales Channels'!$D$14+'Sales Channels'!$F$14)*'Assumptions'!$D$61,"n.a."),"n.a.")</x:f>
        <x:v>6300</x:v>
      </x:c>
      <x:c r="L10" s="48" t="n">
        <x:f>IF(AND('Sales Channels'!N15="OK"),IF(AND(ISNUMBER('Sales Channels'!$D$15),ISNUMBER('Sales Channels'!$F$15),ISNUMBER('Assumptions'!$D$61)),('Sales Channels'!$D$15+'Sales Channels'!$F$15)*'Assumptions'!$D$61,"n.a."),"n.a.")</x:f>
        <x:v>6300</x:v>
      </x:c>
      <x:c r="M10" s="48" t="n">
        <x:f>IF(AND('Sales Channels'!N16="OK"),IF(AND(ISNUMBER('Sales Channels'!$D$16),ISNUMBER('Sales Channels'!$F$16),ISNUMBER('Assumptions'!$D$61)),('Sales Channels'!$D$16+'Sales Channels'!$F$16)*'Assumptions'!$D$61,"n.a."),"n.a.")</x:f>
        <x:v>6300</x:v>
      </x:c>
      <x:c r="N10" s="48" t="n">
        <x:f>IF(AND('Sales Channels'!N17="OK"),IF(AND(ISNUMBER('Sales Channels'!$D$17),ISNUMBER('Sales Channels'!$F$17),ISNUMBER('Assumptions'!$D$61)),('Sales Channels'!$D$17+'Sales Channels'!$F$17)*'Assumptions'!$D$61,"n.a."),"n.a.")</x:f>
        <x:v>6300</x:v>
      </x:c>
      <x:c r="O10" s="48" t="n">
        <x:f>IF(AND('Sales Channels'!N18="OK"),IF(AND(ISNUMBER('Sales Channels'!$D$18),ISNUMBER('Sales Channels'!$F$18),ISNUMBER('Assumptions'!$D$61)),('Sales Channels'!$D$18+'Sales Channels'!$F$18)*'Assumptions'!$D$61,"n.a."),"n.a.")</x:f>
        <x:v>6300</x:v>
      </x:c>
      <x:c r="P10" s="48" t="n">
        <x:f>IF(AND('Sales Channels'!N19="OK"),IF(AND(ISNUMBER('Sales Channels'!$D$19),ISNUMBER('Sales Channels'!$F$19),ISNUMBER('Assumptions'!$D$61)),('Sales Channels'!$D$19+'Sales Channels'!$F$19)*'Assumptions'!$D$61,"n.a."),"n.a.")</x:f>
        <x:v>6300</x:v>
      </x:c>
      <x:c r="Q10" s="48" t="n">
        <x:f>IF(AND('Sales Channels'!N20="OK"),IF(AND(ISNUMBER('Sales Channels'!$D$20),ISNUMBER('Sales Channels'!$F$20),ISNUMBER('Assumptions'!$D$61)),('Sales Channels'!$D$20+'Sales Channels'!$F$20)*'Assumptions'!$D$61,"n.a."),"n.a.")</x:f>
        <x:v>6300</x:v>
      </x:c>
      <x:c r="R10" s="48" t="n">
        <x:f>IF(AND('Sales Channels'!N21="OK"),IF(AND(ISNUMBER('Sales Channels'!$D$21),ISNUMBER('Sales Channels'!$F$21),ISNUMBER('Assumptions'!$D$61)),('Sales Channels'!$D$21+'Sales Channels'!$F$21)*'Assumptions'!$D$61,"n.a."),"n.a.")</x:f>
        <x:v>6300</x:v>
      </x:c>
    </x:row>
    <x:row r="11" ht="21" customHeight="1">
      <x:c r="A11" s="2"/>
      <x:c r="B11" s="2"/>
      <x:c r="C11" s="2" t="str">
        <x:v>Orders within operating capacity</x:v>
      </x:c>
      <x:c r="D11" s="2" t="str">
        <x:v>orders</x:v>
      </x:c>
      <x:c r="E11" s="49" t="n">
        <x:f>IF(COUNT(G11:R11)=12,SUM(G11:R11),"n.a.")</x:f>
        <x:v>75600</x:v>
      </x:c>
      <x:c r="F11" s="2"/>
      <x:c r="G11" s="48" t="n">
        <x:f>IF(AND(ISNUMBER(G10),ISNUMBER('Assumptions'!$D$88)),MIN(G10,'Assumptions'!$D$88),"n.a.")</x:f>
        <x:v>6300</x:v>
      </x:c>
      <x:c r="H11" s="48" t="n">
        <x:f>IF(AND(ISNUMBER(H10),ISNUMBER('Assumptions'!$D$88)),MIN(H10,'Assumptions'!$D$88),"n.a.")</x:f>
        <x:v>6300</x:v>
      </x:c>
      <x:c r="I11" s="48" t="n">
        <x:f>IF(AND(ISNUMBER(I10),ISNUMBER('Assumptions'!$D$88)),MIN(I10,'Assumptions'!$D$88),"n.a.")</x:f>
        <x:v>6300</x:v>
      </x:c>
      <x:c r="J11" s="48" t="n">
        <x:f>IF(AND(ISNUMBER(J10),ISNUMBER('Assumptions'!$D$88)),MIN(J10,'Assumptions'!$D$88),"n.a.")</x:f>
        <x:v>6300</x:v>
      </x:c>
      <x:c r="K11" s="48" t="n">
        <x:f>IF(AND(ISNUMBER(K10),ISNUMBER('Assumptions'!$D$88)),MIN(K10,'Assumptions'!$D$88),"n.a.")</x:f>
        <x:v>6300</x:v>
      </x:c>
      <x:c r="L11" s="48" t="n">
        <x:f>IF(AND(ISNUMBER(L10),ISNUMBER('Assumptions'!$D$88)),MIN(L10,'Assumptions'!$D$88),"n.a.")</x:f>
        <x:v>6300</x:v>
      </x:c>
      <x:c r="M11" s="48" t="n">
        <x:f>IF(AND(ISNUMBER(M10),ISNUMBER('Assumptions'!$D$88)),MIN(M10,'Assumptions'!$D$88),"n.a.")</x:f>
        <x:v>6300</x:v>
      </x:c>
      <x:c r="N11" s="48" t="n">
        <x:f>IF(AND(ISNUMBER(N10),ISNUMBER('Assumptions'!$D$88)),MIN(N10,'Assumptions'!$D$88),"n.a.")</x:f>
        <x:v>6300</x:v>
      </x:c>
      <x:c r="O11" s="48" t="n">
        <x:f>IF(AND(ISNUMBER(O10),ISNUMBER('Assumptions'!$D$88)),MIN(O10,'Assumptions'!$D$88),"n.a.")</x:f>
        <x:v>6300</x:v>
      </x:c>
      <x:c r="P11" s="48" t="n">
        <x:f>IF(AND(ISNUMBER(P10),ISNUMBER('Assumptions'!$D$88)),MIN(P10,'Assumptions'!$D$88),"n.a.")</x:f>
        <x:v>6300</x:v>
      </x:c>
      <x:c r="Q11" s="48" t="n">
        <x:f>IF(AND(ISNUMBER(Q10),ISNUMBER('Assumptions'!$D$88)),MIN(Q10,'Assumptions'!$D$88),"n.a.")</x:f>
        <x:v>6300</x:v>
      </x:c>
      <x:c r="R11" s="48" t="n">
        <x:f>IF(AND(ISNUMBER(R10),ISNUMBER('Assumptions'!$D$88)),MIN(R10,'Assumptions'!$D$88),"n.a.")</x:f>
        <x:v>6300</x:v>
      </x:c>
    </x:row>
    <x:row r="12" ht="21" customHeight="1">
      <x:c r="A12" s="2"/>
      <x:c r="B12" s="2"/>
      <x:c r="C12" s="2" t="str">
        <x:v>Dining/takeaway sales</x:v>
      </x:c>
      <x:c r="D12" s="2" t="str">
        <x:v>USD</x:v>
      </x:c>
      <x:c r="E12" s="52" t="n">
        <x:f>IF(COUNT(G12:R12)=12,SUM(G12:R12),"n.a.")</x:f>
        <x:v>1728000</x:v>
      </x:c>
      <x:c r="F12" s="2"/>
      <x:c r="G12" s="51" t="n">
        <x:f>IF(AND('Sales Channels'!N10="OK"),IF(AND(ISNUMBER('Sales Channels'!$D$10),ISNUMBER('Sales Channels'!$F$10),ISNUMBER(G11),ISNUMBER('Sales Channels'!$E$10),ISNUMBER('Assumptions'!$D$64)),IF('Sales Channels'!$D$10+'Sales Channels'!$F$10=0,0,G11*'Sales Channels'!$D$10/('Sales Channels'!$D$10+'Sales Channels'!$F$10)*'Sales Channels'!$E$10*'Assumptions'!$D$64),"n.a."),"n.a.")</x:f>
        <x:v>144000</x:v>
      </x:c>
      <x:c r="H12" s="51" t="n">
        <x:f>IF(AND('Sales Channels'!N11="OK"),IF(AND(ISNUMBER('Sales Channels'!$D$11),ISNUMBER('Sales Channels'!$F$11),ISNUMBER(H11),ISNUMBER('Sales Channels'!$E$11),ISNUMBER('Assumptions'!$D$64)),IF('Sales Channels'!$D$11+'Sales Channels'!$F$11=0,0,H11*'Sales Channels'!$D$11/('Sales Channels'!$D$11+'Sales Channels'!$F$11)*'Sales Channels'!$E$11*'Assumptions'!$D$64),"n.a."),"n.a.")</x:f>
        <x:v>144000</x:v>
      </x:c>
      <x:c r="I12" s="51" t="n">
        <x:f>IF(AND('Sales Channels'!N12="OK"),IF(AND(ISNUMBER('Sales Channels'!$D$12),ISNUMBER('Sales Channels'!$F$12),ISNUMBER(I11),ISNUMBER('Sales Channels'!$E$12),ISNUMBER('Assumptions'!$D$64)),IF('Sales Channels'!$D$12+'Sales Channels'!$F$12=0,0,I11*'Sales Channels'!$D$12/('Sales Channels'!$D$12+'Sales Channels'!$F$12)*'Sales Channels'!$E$12*'Assumptions'!$D$64),"n.a."),"n.a.")</x:f>
        <x:v>144000</x:v>
      </x:c>
      <x:c r="J12" s="51" t="n">
        <x:f>IF(AND('Sales Channels'!N13="OK"),IF(AND(ISNUMBER('Sales Channels'!$D$13),ISNUMBER('Sales Channels'!$F$13),ISNUMBER(J11),ISNUMBER('Sales Channels'!$E$13),ISNUMBER('Assumptions'!$D$64)),IF('Sales Channels'!$D$13+'Sales Channels'!$F$13=0,0,J11*'Sales Channels'!$D$13/('Sales Channels'!$D$13+'Sales Channels'!$F$13)*'Sales Channels'!$E$13*'Assumptions'!$D$64),"n.a."),"n.a.")</x:f>
        <x:v>144000</x:v>
      </x:c>
      <x:c r="K12" s="51" t="n">
        <x:f>IF(AND('Sales Channels'!N14="OK"),IF(AND(ISNUMBER('Sales Channels'!$D$14),ISNUMBER('Sales Channels'!$F$14),ISNUMBER(K11),ISNUMBER('Sales Channels'!$E$14),ISNUMBER('Assumptions'!$D$64)),IF('Sales Channels'!$D$14+'Sales Channels'!$F$14=0,0,K11*'Sales Channels'!$D$14/('Sales Channels'!$D$14+'Sales Channels'!$F$14)*'Sales Channels'!$E$14*'Assumptions'!$D$64),"n.a."),"n.a.")</x:f>
        <x:v>144000</x:v>
      </x:c>
      <x:c r="L12" s="51" t="n">
        <x:f>IF(AND('Sales Channels'!N15="OK"),IF(AND(ISNUMBER('Sales Channels'!$D$15),ISNUMBER('Sales Channels'!$F$15),ISNUMBER(L11),ISNUMBER('Sales Channels'!$E$15),ISNUMBER('Assumptions'!$D$64)),IF('Sales Channels'!$D$15+'Sales Channels'!$F$15=0,0,L11*'Sales Channels'!$D$15/('Sales Channels'!$D$15+'Sales Channels'!$F$15)*'Sales Channels'!$E$15*'Assumptions'!$D$64),"n.a."),"n.a.")</x:f>
        <x:v>144000</x:v>
      </x:c>
      <x:c r="M12" s="51" t="n">
        <x:f>IF(AND('Sales Channels'!N16="OK"),IF(AND(ISNUMBER('Sales Channels'!$D$16),ISNUMBER('Sales Channels'!$F$16),ISNUMBER(M11),ISNUMBER('Sales Channels'!$E$16),ISNUMBER('Assumptions'!$D$64)),IF('Sales Channels'!$D$16+'Sales Channels'!$F$16=0,0,M11*'Sales Channels'!$D$16/('Sales Channels'!$D$16+'Sales Channels'!$F$16)*'Sales Channels'!$E$16*'Assumptions'!$D$64),"n.a."),"n.a.")</x:f>
        <x:v>144000</x:v>
      </x:c>
      <x:c r="N12" s="51" t="n">
        <x:f>IF(AND('Sales Channels'!N17="OK"),IF(AND(ISNUMBER('Sales Channels'!$D$17),ISNUMBER('Sales Channels'!$F$17),ISNUMBER(N11),ISNUMBER('Sales Channels'!$E$17),ISNUMBER('Assumptions'!$D$64)),IF('Sales Channels'!$D$17+'Sales Channels'!$F$17=0,0,N11*'Sales Channels'!$D$17/('Sales Channels'!$D$17+'Sales Channels'!$F$17)*'Sales Channels'!$E$17*'Assumptions'!$D$64),"n.a."),"n.a.")</x:f>
        <x:v>144000</x:v>
      </x:c>
      <x:c r="O12" s="51" t="n">
        <x:f>IF(AND('Sales Channels'!N18="OK"),IF(AND(ISNUMBER('Sales Channels'!$D$18),ISNUMBER('Sales Channels'!$F$18),ISNUMBER(O11),ISNUMBER('Sales Channels'!$E$18),ISNUMBER('Assumptions'!$D$64)),IF('Sales Channels'!$D$18+'Sales Channels'!$F$18=0,0,O11*'Sales Channels'!$D$18/('Sales Channels'!$D$18+'Sales Channels'!$F$18)*'Sales Channels'!$E$18*'Assumptions'!$D$64),"n.a."),"n.a.")</x:f>
        <x:v>144000</x:v>
      </x:c>
      <x:c r="P12" s="51" t="n">
        <x:f>IF(AND('Sales Channels'!N19="OK"),IF(AND(ISNUMBER('Sales Channels'!$D$19),ISNUMBER('Sales Channels'!$F$19),ISNUMBER(P11),ISNUMBER('Sales Channels'!$E$19),ISNUMBER('Assumptions'!$D$64)),IF('Sales Channels'!$D$19+'Sales Channels'!$F$19=0,0,P11*'Sales Channels'!$D$19/('Sales Channels'!$D$19+'Sales Channels'!$F$19)*'Sales Channels'!$E$19*'Assumptions'!$D$64),"n.a."),"n.a.")</x:f>
        <x:v>144000</x:v>
      </x:c>
      <x:c r="Q12" s="51" t="n">
        <x:f>IF(AND('Sales Channels'!N20="OK"),IF(AND(ISNUMBER('Sales Channels'!$D$20),ISNUMBER('Sales Channels'!$F$20),ISNUMBER(Q11),ISNUMBER('Sales Channels'!$E$20),ISNUMBER('Assumptions'!$D$64)),IF('Sales Channels'!$D$20+'Sales Channels'!$F$20=0,0,Q11*'Sales Channels'!$D$20/('Sales Channels'!$D$20+'Sales Channels'!$F$20)*'Sales Channels'!$E$20*'Assumptions'!$D$64),"n.a."),"n.a.")</x:f>
        <x:v>144000</x:v>
      </x:c>
      <x:c r="R12" s="51" t="n">
        <x:f>IF(AND('Sales Channels'!N21="OK"),IF(AND(ISNUMBER('Sales Channels'!$D$21),ISNUMBER('Sales Channels'!$F$21),ISNUMBER(R11),ISNUMBER('Sales Channels'!$E$21),ISNUMBER('Assumptions'!$D$64)),IF('Sales Channels'!$D$21+'Sales Channels'!$F$21=0,0,R11*'Sales Channels'!$D$21/('Sales Channels'!$D$21+'Sales Channels'!$F$21)*'Sales Channels'!$E$21*'Assumptions'!$D$64),"n.a."),"n.a.")</x:f>
        <x:v>144000</x:v>
      </x:c>
    </x:row>
    <x:row r="13" ht="21" customHeight="1">
      <x:c r="A13" s="2"/>
      <x:c r="B13" s="2"/>
      <x:c r="C13" s="2" t="str">
        <x:v>Delivery gross sales</x:v>
      </x:c>
      <x:c r="D13" s="2" t="str">
        <x:v>USD</x:v>
      </x:c>
      <x:c r="E13" s="52" t="n">
        <x:f>IF(COUNT(G13:R13)=12,SUM(G13:R13),"n.a.")</x:f>
        <x:v>626400</x:v>
      </x:c>
      <x:c r="F13" s="2"/>
      <x:c r="G13" s="51" t="n">
        <x:f>IF(AND('Sales Channels'!N10="OK"),IF(AND(ISNUMBER('Sales Channels'!$D$10),ISNUMBER('Sales Channels'!$F$10),ISNUMBER(G11),ISNUMBER('Sales Channels'!$G$10),ISNUMBER('Assumptions'!$D$64)),IF('Sales Channels'!$D$10+'Sales Channels'!$F$10=0,0,G11*'Sales Channels'!$F$10/('Sales Channels'!$D$10+'Sales Channels'!$F$10)*'Sales Channels'!$G$10*'Assumptions'!$D$64),"n.a."),"n.a.")</x:f>
        <x:v>52200</x:v>
      </x:c>
      <x:c r="H13" s="51" t="n">
        <x:f>IF(AND('Sales Channels'!N11="OK"),IF(AND(ISNUMBER('Sales Channels'!$D$11),ISNUMBER('Sales Channels'!$F$11),ISNUMBER(H11),ISNUMBER('Sales Channels'!$G$11),ISNUMBER('Assumptions'!$D$64)),IF('Sales Channels'!$D$11+'Sales Channels'!$F$11=0,0,H11*'Sales Channels'!$F$11/('Sales Channels'!$D$11+'Sales Channels'!$F$11)*'Sales Channels'!$G$11*'Assumptions'!$D$64),"n.a."),"n.a.")</x:f>
        <x:v>52200</x:v>
      </x:c>
      <x:c r="I13" s="51" t="n">
        <x:f>IF(AND('Sales Channels'!N12="OK"),IF(AND(ISNUMBER('Sales Channels'!$D$12),ISNUMBER('Sales Channels'!$F$12),ISNUMBER(I11),ISNUMBER('Sales Channels'!$G$12),ISNUMBER('Assumptions'!$D$64)),IF('Sales Channels'!$D$12+'Sales Channels'!$F$12=0,0,I11*'Sales Channels'!$F$12/('Sales Channels'!$D$12+'Sales Channels'!$F$12)*'Sales Channels'!$G$12*'Assumptions'!$D$64),"n.a."),"n.a.")</x:f>
        <x:v>52200</x:v>
      </x:c>
      <x:c r="J13" s="51" t="n">
        <x:f>IF(AND('Sales Channels'!N13="OK"),IF(AND(ISNUMBER('Sales Channels'!$D$13),ISNUMBER('Sales Channels'!$F$13),ISNUMBER(J11),ISNUMBER('Sales Channels'!$G$13),ISNUMBER('Assumptions'!$D$64)),IF('Sales Channels'!$D$13+'Sales Channels'!$F$13=0,0,J11*'Sales Channels'!$F$13/('Sales Channels'!$D$13+'Sales Channels'!$F$13)*'Sales Channels'!$G$13*'Assumptions'!$D$64),"n.a."),"n.a.")</x:f>
        <x:v>52200</x:v>
      </x:c>
      <x:c r="K13" s="51" t="n">
        <x:f>IF(AND('Sales Channels'!N14="OK"),IF(AND(ISNUMBER('Sales Channels'!$D$14),ISNUMBER('Sales Channels'!$F$14),ISNUMBER(K11),ISNUMBER('Sales Channels'!$G$14),ISNUMBER('Assumptions'!$D$64)),IF('Sales Channels'!$D$14+'Sales Channels'!$F$14=0,0,K11*'Sales Channels'!$F$14/('Sales Channels'!$D$14+'Sales Channels'!$F$14)*'Sales Channels'!$G$14*'Assumptions'!$D$64),"n.a."),"n.a.")</x:f>
        <x:v>52200</x:v>
      </x:c>
      <x:c r="L13" s="51" t="n">
        <x:f>IF(AND('Sales Channels'!N15="OK"),IF(AND(ISNUMBER('Sales Channels'!$D$15),ISNUMBER('Sales Channels'!$F$15),ISNUMBER(L11),ISNUMBER('Sales Channels'!$G$15),ISNUMBER('Assumptions'!$D$64)),IF('Sales Channels'!$D$15+'Sales Channels'!$F$15=0,0,L11*'Sales Channels'!$F$15/('Sales Channels'!$D$15+'Sales Channels'!$F$15)*'Sales Channels'!$G$15*'Assumptions'!$D$64),"n.a."),"n.a.")</x:f>
        <x:v>52200</x:v>
      </x:c>
      <x:c r="M13" s="51" t="n">
        <x:f>IF(AND('Sales Channels'!N16="OK"),IF(AND(ISNUMBER('Sales Channels'!$D$16),ISNUMBER('Sales Channels'!$F$16),ISNUMBER(M11),ISNUMBER('Sales Channels'!$G$16),ISNUMBER('Assumptions'!$D$64)),IF('Sales Channels'!$D$16+'Sales Channels'!$F$16=0,0,M11*'Sales Channels'!$F$16/('Sales Channels'!$D$16+'Sales Channels'!$F$16)*'Sales Channels'!$G$16*'Assumptions'!$D$64),"n.a."),"n.a.")</x:f>
        <x:v>52200</x:v>
      </x:c>
      <x:c r="N13" s="51" t="n">
        <x:f>IF(AND('Sales Channels'!N17="OK"),IF(AND(ISNUMBER('Sales Channels'!$D$17),ISNUMBER('Sales Channels'!$F$17),ISNUMBER(N11),ISNUMBER('Sales Channels'!$G$17),ISNUMBER('Assumptions'!$D$64)),IF('Sales Channels'!$D$17+'Sales Channels'!$F$17=0,0,N11*'Sales Channels'!$F$17/('Sales Channels'!$D$17+'Sales Channels'!$F$17)*'Sales Channels'!$G$17*'Assumptions'!$D$64),"n.a."),"n.a.")</x:f>
        <x:v>52200</x:v>
      </x:c>
      <x:c r="O13" s="51" t="n">
        <x:f>IF(AND('Sales Channels'!N18="OK"),IF(AND(ISNUMBER('Sales Channels'!$D$18),ISNUMBER('Sales Channels'!$F$18),ISNUMBER(O11),ISNUMBER('Sales Channels'!$G$18),ISNUMBER('Assumptions'!$D$64)),IF('Sales Channels'!$D$18+'Sales Channels'!$F$18=0,0,O11*'Sales Channels'!$F$18/('Sales Channels'!$D$18+'Sales Channels'!$F$18)*'Sales Channels'!$G$18*'Assumptions'!$D$64),"n.a."),"n.a.")</x:f>
        <x:v>52200</x:v>
      </x:c>
      <x:c r="P13" s="51" t="n">
        <x:f>IF(AND('Sales Channels'!N19="OK"),IF(AND(ISNUMBER('Sales Channels'!$D$19),ISNUMBER('Sales Channels'!$F$19),ISNUMBER(P11),ISNUMBER('Sales Channels'!$G$19),ISNUMBER('Assumptions'!$D$64)),IF('Sales Channels'!$D$19+'Sales Channels'!$F$19=0,0,P11*'Sales Channels'!$F$19/('Sales Channels'!$D$19+'Sales Channels'!$F$19)*'Sales Channels'!$G$19*'Assumptions'!$D$64),"n.a."),"n.a.")</x:f>
        <x:v>52200</x:v>
      </x:c>
      <x:c r="Q13" s="51" t="n">
        <x:f>IF(AND('Sales Channels'!N20="OK"),IF(AND(ISNUMBER('Sales Channels'!$D$20),ISNUMBER('Sales Channels'!$F$20),ISNUMBER(Q11),ISNUMBER('Sales Channels'!$G$20),ISNUMBER('Assumptions'!$D$64)),IF('Sales Channels'!$D$20+'Sales Channels'!$F$20=0,0,Q11*'Sales Channels'!$F$20/('Sales Channels'!$D$20+'Sales Channels'!$F$20)*'Sales Channels'!$G$20*'Assumptions'!$D$64),"n.a."),"n.a.")</x:f>
        <x:v>52200</x:v>
      </x:c>
      <x:c r="R13" s="51" t="n">
        <x:f>IF(AND('Sales Channels'!N21="OK"),IF(AND(ISNUMBER('Sales Channels'!$D$21),ISNUMBER('Sales Channels'!$F$21),ISNUMBER(R11),ISNUMBER('Sales Channels'!$G$21),ISNUMBER('Assumptions'!$D$64)),IF('Sales Channels'!$D$21+'Sales Channels'!$F$21=0,0,R11*'Sales Channels'!$F$21/('Sales Channels'!$D$21+'Sales Channels'!$F$21)*'Sales Channels'!$G$21*'Assumptions'!$D$64),"n.a."),"n.a.")</x:f>
        <x:v>52200</x:v>
      </x:c>
    </x:row>
    <x:row r="14" ht="21" customHeight="1">
      <x:c r="A14" s="2"/>
      <x:c r="B14" s="2"/>
      <x:c r="C14" s="2" t="str">
        <x:v>Gross channel sales</x:v>
      </x:c>
      <x:c r="D14" s="2" t="str">
        <x:v>USD</x:v>
      </x:c>
      <x:c r="E14" s="52" t="n">
        <x:f>IF(COUNT(G14:R14)=12,SUM(G14:R14),"n.a.")</x:f>
        <x:v>2354400</x:v>
      </x:c>
      <x:c r="F14" s="2"/>
      <x:c r="G14" s="52" t="n">
        <x:f>IF(AND(ISNUMBER(G12),ISNUMBER(G13)),G12+G13,"n.a.")</x:f>
        <x:v>196200</x:v>
      </x:c>
      <x:c r="H14" s="52" t="n">
        <x:f>IF(AND(ISNUMBER(H12),ISNUMBER(H13)),H12+H13,"n.a.")</x:f>
        <x:v>196200</x:v>
      </x:c>
      <x:c r="I14" s="52" t="n">
        <x:f>IF(AND(ISNUMBER(I12),ISNUMBER(I13)),I12+I13,"n.a.")</x:f>
        <x:v>196200</x:v>
      </x:c>
      <x:c r="J14" s="52" t="n">
        <x:f>IF(AND(ISNUMBER(J12),ISNUMBER(J13)),J12+J13,"n.a.")</x:f>
        <x:v>196200</x:v>
      </x:c>
      <x:c r="K14" s="52" t="n">
        <x:f>IF(AND(ISNUMBER(K12),ISNUMBER(K13)),K12+K13,"n.a.")</x:f>
        <x:v>196200</x:v>
      </x:c>
      <x:c r="L14" s="52" t="n">
        <x:f>IF(AND(ISNUMBER(L12),ISNUMBER(L13)),L12+L13,"n.a.")</x:f>
        <x:v>196200</x:v>
      </x:c>
      <x:c r="M14" s="52" t="n">
        <x:f>IF(AND(ISNUMBER(M12),ISNUMBER(M13)),M12+M13,"n.a.")</x:f>
        <x:v>196200</x:v>
      </x:c>
      <x:c r="N14" s="52" t="n">
        <x:f>IF(AND(ISNUMBER(N12),ISNUMBER(N13)),N12+N13,"n.a.")</x:f>
        <x:v>196200</x:v>
      </x:c>
      <x:c r="O14" s="52" t="n">
        <x:f>IF(AND(ISNUMBER(O12),ISNUMBER(O13)),O12+O13,"n.a.")</x:f>
        <x:v>196200</x:v>
      </x:c>
      <x:c r="P14" s="52" t="n">
        <x:f>IF(AND(ISNUMBER(P12),ISNUMBER(P13)),P12+P13,"n.a.")</x:f>
        <x:v>196200</x:v>
      </x:c>
      <x:c r="Q14" s="52" t="n">
        <x:f>IF(AND(ISNUMBER(Q12),ISNUMBER(Q13)),Q12+Q13,"n.a.")</x:f>
        <x:v>196200</x:v>
      </x:c>
      <x:c r="R14" s="52" t="n">
        <x:f>IF(AND(ISNUMBER(R12),ISNUMBER(R13)),R12+R13,"n.a.")</x:f>
        <x:v>196200</x:v>
      </x:c>
    </x:row>
    <x:row r="15" ht="21" customHeight="1">
      <x:c r="A15" s="2"/>
      <x:c r="B15" s="2"/>
      <x:c r="C15" s="2" t="str">
        <x:v>Sales collections after refunds</x:v>
      </x:c>
      <x:c r="D15" s="2" t="str">
        <x:v>USD</x:v>
      </x:c>
      <x:c r="E15" s="52" t="n">
        <x:f>IF(COUNT(G15:R15)=12,SUM(G15:R15),"n.a.")</x:f>
        <x:v>2340000</x:v>
      </x:c>
      <x:c r="F15" s="2"/>
      <x:c r="G15" s="51" t="n">
        <x:f>IF(AND('Sales Channels'!N10="OK"),IF(AND(ISNUMBER(G14),ISNUMBER('Sales Channels'!$L$10)),G14-'Sales Channels'!$L$10,"n.a."),"n.a.")</x:f>
        <x:v>195000</x:v>
      </x:c>
      <x:c r="H15" s="51" t="n">
        <x:f>IF(AND('Sales Channels'!N11="OK"),IF(AND(ISNUMBER(H14),ISNUMBER('Sales Channels'!$L$11)),H14-'Sales Channels'!$L$11,"n.a."),"n.a.")</x:f>
        <x:v>195000</x:v>
      </x:c>
      <x:c r="I15" s="51" t="n">
        <x:f>IF(AND('Sales Channels'!N12="OK"),IF(AND(ISNUMBER(I14),ISNUMBER('Sales Channels'!$L$12)),I14-'Sales Channels'!$L$12,"n.a."),"n.a.")</x:f>
        <x:v>195000</x:v>
      </x:c>
      <x:c r="J15" s="51" t="n">
        <x:f>IF(AND('Sales Channels'!N13="OK"),IF(AND(ISNUMBER(J14),ISNUMBER('Sales Channels'!$L$13)),J14-'Sales Channels'!$L$13,"n.a."),"n.a.")</x:f>
        <x:v>195000</x:v>
      </x:c>
      <x:c r="K15" s="51" t="n">
        <x:f>IF(AND('Sales Channels'!N14="OK"),IF(AND(ISNUMBER(K14),ISNUMBER('Sales Channels'!$L$14)),K14-'Sales Channels'!$L$14,"n.a."),"n.a.")</x:f>
        <x:v>195000</x:v>
      </x:c>
      <x:c r="L15" s="51" t="n">
        <x:f>IF(AND('Sales Channels'!N15="OK"),IF(AND(ISNUMBER(L14),ISNUMBER('Sales Channels'!$L$15)),L14-'Sales Channels'!$L$15,"n.a."),"n.a.")</x:f>
        <x:v>195000</x:v>
      </x:c>
      <x:c r="M15" s="51" t="n">
        <x:f>IF(AND('Sales Channels'!N16="OK"),IF(AND(ISNUMBER(M14),ISNUMBER('Sales Channels'!$L$16)),M14-'Sales Channels'!$L$16,"n.a."),"n.a.")</x:f>
        <x:v>195000</x:v>
      </x:c>
      <x:c r="N15" s="51" t="n">
        <x:f>IF(AND('Sales Channels'!N17="OK"),IF(AND(ISNUMBER(N14),ISNUMBER('Sales Channels'!$L$17)),N14-'Sales Channels'!$L$17,"n.a."),"n.a.")</x:f>
        <x:v>195000</x:v>
      </x:c>
      <x:c r="O15" s="51" t="n">
        <x:f>IF(AND('Sales Channels'!N18="OK"),IF(AND(ISNUMBER(O14),ISNUMBER('Sales Channels'!$L$18)),O14-'Sales Channels'!$L$18,"n.a."),"n.a.")</x:f>
        <x:v>195000</x:v>
      </x:c>
      <x:c r="P15" s="51" t="n">
        <x:f>IF(AND('Sales Channels'!N19="OK"),IF(AND(ISNUMBER(P14),ISNUMBER('Sales Channels'!$L$19)),P14-'Sales Channels'!$L$19,"n.a."),"n.a.")</x:f>
        <x:v>195000</x:v>
      </x:c>
      <x:c r="Q15" s="51" t="n">
        <x:f>IF(AND('Sales Channels'!N20="OK"),IF(AND(ISNUMBER(Q14),ISNUMBER('Sales Channels'!$L$20)),Q14-'Sales Channels'!$L$20,"n.a."),"n.a.")</x:f>
        <x:v>195000</x:v>
      </x:c>
      <x:c r="R15" s="51" t="n">
        <x:f>IF(AND('Sales Channels'!N21="OK"),IF(AND(ISNUMBER(R14),ISNUMBER('Sales Channels'!$L$21)),R14-'Sales Channels'!$L$21,"n.a."),"n.a.")</x:f>
        <x:v>195000</x:v>
      </x:c>
    </x:row>
    <x:row r="16" ht="21" customHeight="1">
      <x:c r="A16" s="2"/>
      <x:c r="B16" s="2"/>
      <x:c r="C16" s="2" t="str">
        <x:v>Food, platform, payroll and royalties</x:v>
      </x:c>
      <x:c r="D16" s="2" t="str">
        <x:v>USD</x:v>
      </x:c>
      <x:c r="E16" s="52" t="n">
        <x:f>IF(COUNT(G16:R16)=12,SUM(G16:R16),"n.a.")</x:f>
        <x:v>1934760</x:v>
      </x:c>
      <x:c r="F16" s="2"/>
      <x:c r="G16" s="51" t="n">
        <x:f>IF(AND('Sales Channels'!N10="OK"),IF(AND(ISNUMBER(G14),ISNUMBER('Sales Channels'!$I$10),ISNUMBER('Assumptions'!$D$67),ISNUMBER(G13),ISNUMBER('Sales Channels'!$H$10),ISNUMBER('Sales Channels'!$J$10),ISNUMBER('Sales Channels'!$K$10),ISNUMBER('Assumptions'!$D$91),ISNUMBER('Assumptions'!$D$94)),G14*'Sales Channels'!$I$10*'Assumptions'!$D$67+G13*'Sales Channels'!$H$10+('Sales Channels'!$J$10+'Sales Channels'!$K$10)*'Assumptions'!$D$67+G14*'Assumptions'!$D$91+'Assumptions'!$D$94,"n.a."),"n.a.")</x:f>
        <x:v>161230</x:v>
      </x:c>
      <x:c r="H16" s="51" t="n">
        <x:f>IF(AND('Sales Channels'!N11="OK"),IF(AND(ISNUMBER(H14),ISNUMBER('Sales Channels'!$I$11),ISNUMBER('Assumptions'!$D$67),ISNUMBER(H13),ISNUMBER('Sales Channels'!$H$11),ISNUMBER('Sales Channels'!$J$11),ISNUMBER('Sales Channels'!$K$11),ISNUMBER('Assumptions'!$D$91),ISNUMBER('Assumptions'!$D$94)),H14*'Sales Channels'!$I$11*'Assumptions'!$D$67+H13*'Sales Channels'!$H$11+('Sales Channels'!$J$11+'Sales Channels'!$K$11)*'Assumptions'!$D$67+H14*'Assumptions'!$D$91+'Assumptions'!$D$94,"n.a."),"n.a.")</x:f>
        <x:v>161230</x:v>
      </x:c>
      <x:c r="I16" s="51" t="n">
        <x:f>IF(AND('Sales Channels'!N12="OK"),IF(AND(ISNUMBER(I14),ISNUMBER('Sales Channels'!$I$12),ISNUMBER('Assumptions'!$D$67),ISNUMBER(I13),ISNUMBER('Sales Channels'!$H$12),ISNUMBER('Sales Channels'!$J$12),ISNUMBER('Sales Channels'!$K$12),ISNUMBER('Assumptions'!$D$91),ISNUMBER('Assumptions'!$D$94)),I14*'Sales Channels'!$I$12*'Assumptions'!$D$67+I13*'Sales Channels'!$H$12+('Sales Channels'!$J$12+'Sales Channels'!$K$12)*'Assumptions'!$D$67+I14*'Assumptions'!$D$91+'Assumptions'!$D$94,"n.a."),"n.a.")</x:f>
        <x:v>161230</x:v>
      </x:c>
      <x:c r="J16" s="51" t="n">
        <x:f>IF(AND('Sales Channels'!N13="OK"),IF(AND(ISNUMBER(J14),ISNUMBER('Sales Channels'!$I$13),ISNUMBER('Assumptions'!$D$67),ISNUMBER(J13),ISNUMBER('Sales Channels'!$H$13),ISNUMBER('Sales Channels'!$J$13),ISNUMBER('Sales Channels'!$K$13),ISNUMBER('Assumptions'!$D$91),ISNUMBER('Assumptions'!$D$94)),J14*'Sales Channels'!$I$13*'Assumptions'!$D$67+J13*'Sales Channels'!$H$13+('Sales Channels'!$J$13+'Sales Channels'!$K$13)*'Assumptions'!$D$67+J14*'Assumptions'!$D$91+'Assumptions'!$D$94,"n.a."),"n.a.")</x:f>
        <x:v>161230</x:v>
      </x:c>
      <x:c r="K16" s="51" t="n">
        <x:f>IF(AND('Sales Channels'!N14="OK"),IF(AND(ISNUMBER(K14),ISNUMBER('Sales Channels'!$I$14),ISNUMBER('Assumptions'!$D$67),ISNUMBER(K13),ISNUMBER('Sales Channels'!$H$14),ISNUMBER('Sales Channels'!$J$14),ISNUMBER('Sales Channels'!$K$14),ISNUMBER('Assumptions'!$D$91),ISNUMBER('Assumptions'!$D$94)),K14*'Sales Channels'!$I$14*'Assumptions'!$D$67+K13*'Sales Channels'!$H$14+('Sales Channels'!$J$14+'Sales Channels'!$K$14)*'Assumptions'!$D$67+K14*'Assumptions'!$D$91+'Assumptions'!$D$94,"n.a."),"n.a.")</x:f>
        <x:v>161230</x:v>
      </x:c>
      <x:c r="L16" s="51" t="n">
        <x:f>IF(AND('Sales Channels'!N15="OK"),IF(AND(ISNUMBER(L14),ISNUMBER('Sales Channels'!$I$15),ISNUMBER('Assumptions'!$D$67),ISNUMBER(L13),ISNUMBER('Sales Channels'!$H$15),ISNUMBER('Sales Channels'!$J$15),ISNUMBER('Sales Channels'!$K$15),ISNUMBER('Assumptions'!$D$91),ISNUMBER('Assumptions'!$D$94)),L14*'Sales Channels'!$I$15*'Assumptions'!$D$67+L13*'Sales Channels'!$H$15+('Sales Channels'!$J$15+'Sales Channels'!$K$15)*'Assumptions'!$D$67+L14*'Assumptions'!$D$91+'Assumptions'!$D$94,"n.a."),"n.a.")</x:f>
        <x:v>161230</x:v>
      </x:c>
      <x:c r="M16" s="51" t="n">
        <x:f>IF(AND('Sales Channels'!N16="OK"),IF(AND(ISNUMBER(M14),ISNUMBER('Sales Channels'!$I$16),ISNUMBER('Assumptions'!$D$67),ISNUMBER(M13),ISNUMBER('Sales Channels'!$H$16),ISNUMBER('Sales Channels'!$J$16),ISNUMBER('Sales Channels'!$K$16),ISNUMBER('Assumptions'!$D$91),ISNUMBER('Assumptions'!$D$94)),M14*'Sales Channels'!$I$16*'Assumptions'!$D$67+M13*'Sales Channels'!$H$16+('Sales Channels'!$J$16+'Sales Channels'!$K$16)*'Assumptions'!$D$67+M14*'Assumptions'!$D$91+'Assumptions'!$D$94,"n.a."),"n.a.")</x:f>
        <x:v>161230</x:v>
      </x:c>
      <x:c r="N16" s="51" t="n">
        <x:f>IF(AND('Sales Channels'!N17="OK"),IF(AND(ISNUMBER(N14),ISNUMBER('Sales Channels'!$I$17),ISNUMBER('Assumptions'!$D$67),ISNUMBER(N13),ISNUMBER('Sales Channels'!$H$17),ISNUMBER('Sales Channels'!$J$17),ISNUMBER('Sales Channels'!$K$17),ISNUMBER('Assumptions'!$D$91),ISNUMBER('Assumptions'!$D$94)),N14*'Sales Channels'!$I$17*'Assumptions'!$D$67+N13*'Sales Channels'!$H$17+('Sales Channels'!$J$17+'Sales Channels'!$K$17)*'Assumptions'!$D$67+N14*'Assumptions'!$D$91+'Assumptions'!$D$94,"n.a."),"n.a.")</x:f>
        <x:v>161230</x:v>
      </x:c>
      <x:c r="O16" s="51" t="n">
        <x:f>IF(AND('Sales Channels'!N18="OK"),IF(AND(ISNUMBER(O14),ISNUMBER('Sales Channels'!$I$18),ISNUMBER('Assumptions'!$D$67),ISNUMBER(O13),ISNUMBER('Sales Channels'!$H$18),ISNUMBER('Sales Channels'!$J$18),ISNUMBER('Sales Channels'!$K$18),ISNUMBER('Assumptions'!$D$91),ISNUMBER('Assumptions'!$D$94)),O14*'Sales Channels'!$I$18*'Assumptions'!$D$67+O13*'Sales Channels'!$H$18+('Sales Channels'!$J$18+'Sales Channels'!$K$18)*'Assumptions'!$D$67+O14*'Assumptions'!$D$91+'Assumptions'!$D$94,"n.a."),"n.a.")</x:f>
        <x:v>161230</x:v>
      </x:c>
      <x:c r="P16" s="51" t="n">
        <x:f>IF(AND('Sales Channels'!N19="OK"),IF(AND(ISNUMBER(P14),ISNUMBER('Sales Channels'!$I$19),ISNUMBER('Assumptions'!$D$67),ISNUMBER(P13),ISNUMBER('Sales Channels'!$H$19),ISNUMBER('Sales Channels'!$J$19),ISNUMBER('Sales Channels'!$K$19),ISNUMBER('Assumptions'!$D$91),ISNUMBER('Assumptions'!$D$94)),P14*'Sales Channels'!$I$19*'Assumptions'!$D$67+P13*'Sales Channels'!$H$19+('Sales Channels'!$J$19+'Sales Channels'!$K$19)*'Assumptions'!$D$67+P14*'Assumptions'!$D$91+'Assumptions'!$D$94,"n.a."),"n.a.")</x:f>
        <x:v>161230</x:v>
      </x:c>
      <x:c r="Q16" s="51" t="n">
        <x:f>IF(AND('Sales Channels'!N20="OK"),IF(AND(ISNUMBER(Q14),ISNUMBER('Sales Channels'!$I$20),ISNUMBER('Assumptions'!$D$67),ISNUMBER(Q13),ISNUMBER('Sales Channels'!$H$20),ISNUMBER('Sales Channels'!$J$20),ISNUMBER('Sales Channels'!$K$20),ISNUMBER('Assumptions'!$D$91),ISNUMBER('Assumptions'!$D$94)),Q14*'Sales Channels'!$I$20*'Assumptions'!$D$67+Q13*'Sales Channels'!$H$20+('Sales Channels'!$J$20+'Sales Channels'!$K$20)*'Assumptions'!$D$67+Q14*'Assumptions'!$D$91+'Assumptions'!$D$94,"n.a."),"n.a.")</x:f>
        <x:v>161230</x:v>
      </x:c>
      <x:c r="R16" s="51" t="n">
        <x:f>IF(AND('Sales Channels'!N21="OK"),IF(AND(ISNUMBER(R14),ISNUMBER('Sales Channels'!$I$21),ISNUMBER('Assumptions'!$D$67),ISNUMBER(R13),ISNUMBER('Sales Channels'!$H$21),ISNUMBER('Sales Channels'!$J$21),ISNUMBER('Sales Channels'!$K$21),ISNUMBER('Assumptions'!$D$91),ISNUMBER('Assumptions'!$D$94)),R14*'Sales Channels'!$I$21*'Assumptions'!$D$67+R13*'Sales Channels'!$H$21+('Sales Channels'!$J$21+'Sales Channels'!$K$21)*'Assumptions'!$D$67+R14*'Assumptions'!$D$91+'Assumptions'!$D$94,"n.a."),"n.a.")</x:f>
        <x:v>161230</x:v>
      </x:c>
    </x:row>
    <x:row r="17" ht="21" customHeight="1">
      <x:c r="A17" s="2"/>
      <x:c r="B17" s="2"/>
      <x:c r="C17" s="2" t="str">
        <x:v>Related rent eliminated in combined cash</x:v>
      </x:c>
      <x:c r="D17" s="2" t="str">
        <x:v>USD</x:v>
      </x:c>
      <x:c r="E17" s="52" t="n">
        <x:f>IF(COUNT(G17:R17)=12,SUM(G17:R17),"n.a.")</x:f>
        <x:v>144000</x:v>
      </x:c>
      <x:c r="F17" s="2"/>
      <x:c r="G17" s="51" t="n">
        <x:f>IF(AND(ISNUMBER('Assumptions'!$D$73)),'Assumptions'!$D$73,"n.a.")</x:f>
        <x:v>12000</x:v>
      </x:c>
      <x:c r="H17" s="51" t="n">
        <x:f>IF(AND(ISNUMBER('Assumptions'!$D$73)),'Assumptions'!$D$73,"n.a.")</x:f>
        <x:v>12000</x:v>
      </x:c>
      <x:c r="I17" s="51" t="n">
        <x:f>IF(AND(ISNUMBER('Assumptions'!$D$73)),'Assumptions'!$D$73,"n.a.")</x:f>
        <x:v>12000</x:v>
      </x:c>
      <x:c r="J17" s="51" t="n">
        <x:f>IF(AND(ISNUMBER('Assumptions'!$D$73)),'Assumptions'!$D$73,"n.a.")</x:f>
        <x:v>12000</x:v>
      </x:c>
      <x:c r="K17" s="51" t="n">
        <x:f>IF(AND(ISNUMBER('Assumptions'!$D$73)),'Assumptions'!$D$73,"n.a.")</x:f>
        <x:v>12000</x:v>
      </x:c>
      <x:c r="L17" s="51" t="n">
        <x:f>IF(AND(ISNUMBER('Assumptions'!$D$73)),'Assumptions'!$D$73,"n.a.")</x:f>
        <x:v>12000</x:v>
      </x:c>
      <x:c r="M17" s="51" t="n">
        <x:f>IF(AND(ISNUMBER('Assumptions'!$D$73)),'Assumptions'!$D$73,"n.a.")</x:f>
        <x:v>12000</x:v>
      </x:c>
      <x:c r="N17" s="51" t="n">
        <x:f>IF(AND(ISNUMBER('Assumptions'!$D$73)),'Assumptions'!$D$73,"n.a.")</x:f>
        <x:v>12000</x:v>
      </x:c>
      <x:c r="O17" s="51" t="n">
        <x:f>IF(AND(ISNUMBER('Assumptions'!$D$73)),'Assumptions'!$D$73,"n.a.")</x:f>
        <x:v>12000</x:v>
      </x:c>
      <x:c r="P17" s="51" t="n">
        <x:f>IF(AND(ISNUMBER('Assumptions'!$D$73)),'Assumptions'!$D$73,"n.a.")</x:f>
        <x:v>12000</x:v>
      </x:c>
      <x:c r="Q17" s="51" t="n">
        <x:f>IF(AND(ISNUMBER('Assumptions'!$D$73)),'Assumptions'!$D$73,"n.a.")</x:f>
        <x:v>12000</x:v>
      </x:c>
      <x:c r="R17" s="51" t="n">
        <x:f>IF(AND(ISNUMBER('Assumptions'!$D$73)),'Assumptions'!$D$73,"n.a.")</x:f>
        <x:v>12000</x:v>
      </x:c>
    </x:row>
    <x:row r="18" ht="21" customHeight="1">
      <x:c r="A18" s="2"/>
      <x:c r="B18" s="2"/>
      <x:c r="C18" s="2" t="str">
        <x:v>Business receipts less related rent</x:v>
      </x:c>
      <x:c r="D18" s="2" t="str">
        <x:v>USD</x:v>
      </x:c>
      <x:c r="E18" s="52" t="n">
        <x:f>IF(COUNT(G18:R18)=12,SUM(G18:R18),"n.a.")</x:f>
        <x:v>2196000</x:v>
      </x:c>
      <x:c r="F18" s="2"/>
      <x:c r="G18" s="52" t="n">
        <x:f>IF(AND(ISNUMBER(G15),ISNUMBER(G17)),G15-G17,"n.a.")</x:f>
        <x:v>183000</x:v>
      </x:c>
      <x:c r="H18" s="52" t="n">
        <x:f>IF(AND(ISNUMBER(H15),ISNUMBER(H17)),H15-H17,"n.a.")</x:f>
        <x:v>183000</x:v>
      </x:c>
      <x:c r="I18" s="52" t="n">
        <x:f>IF(AND(ISNUMBER(I15),ISNUMBER(I17)),I15-I17,"n.a.")</x:f>
        <x:v>183000</x:v>
      </x:c>
      <x:c r="J18" s="52" t="n">
        <x:f>IF(AND(ISNUMBER(J15),ISNUMBER(J17)),J15-J17,"n.a.")</x:f>
        <x:v>183000</x:v>
      </x:c>
      <x:c r="K18" s="52" t="n">
        <x:f>IF(AND(ISNUMBER(K15),ISNUMBER(K17)),K15-K17,"n.a.")</x:f>
        <x:v>183000</x:v>
      </x:c>
      <x:c r="L18" s="52" t="n">
        <x:f>IF(AND(ISNUMBER(L15),ISNUMBER(L17)),L15-L17,"n.a.")</x:f>
        <x:v>183000</x:v>
      </x:c>
      <x:c r="M18" s="52" t="n">
        <x:f>IF(AND(ISNUMBER(M15),ISNUMBER(M17)),M15-M17,"n.a.")</x:f>
        <x:v>183000</x:v>
      </x:c>
      <x:c r="N18" s="52" t="n">
        <x:f>IF(AND(ISNUMBER(N15),ISNUMBER(N17)),N15-N17,"n.a.")</x:f>
        <x:v>183000</x:v>
      </x:c>
      <x:c r="O18" s="52" t="n">
        <x:f>IF(AND(ISNUMBER(O15),ISNUMBER(O17)),O15-O17,"n.a.")</x:f>
        <x:v>183000</x:v>
      </x:c>
      <x:c r="P18" s="52" t="n">
        <x:f>IF(AND(ISNUMBER(P15),ISNUMBER(P17)),P15-P17,"n.a.")</x:f>
        <x:v>183000</x:v>
      </x:c>
      <x:c r="Q18" s="52" t="n">
        <x:f>IF(AND(ISNUMBER(Q15),ISNUMBER(Q17)),Q15-Q17,"n.a.")</x:f>
        <x:v>183000</x:v>
      </x:c>
      <x:c r="R18" s="52" t="n">
        <x:f>IF(AND(ISNUMBER(R15),ISNUMBER(R17)),R15-R17,"n.a.")</x:f>
        <x:v>183000</x:v>
      </x:c>
    </x:row>
    <x:row r="19" ht="21" customHeight="1">
      <x:c r="A19" s="2"/>
      <x:c r="B19" s="2"/>
      <x:c r="C19" s="56" t="str">
        <x:v>Combined receipts before outside obligations</x:v>
      </x:c>
      <x:c r="D19" s="56" t="str">
        <x:v>USD</x:v>
      </x:c>
      <x:c r="E19" s="57" t="n">
        <x:f>IF(COUNT(G19:R19)=12,SUM(G19:R19),"n.a.")</x:f>
        <x:v>2340000</x:v>
      </x:c>
      <x:c r="F19" s="56"/>
      <x:c r="G19" s="57" t="n">
        <x:f>IF(AND(ISNUMBER(G18),ISNUMBER(G17)),G18+G17,"n.a.")</x:f>
        <x:v>195000</x:v>
      </x:c>
      <x:c r="H19" s="57" t="n">
        <x:f>IF(AND(ISNUMBER(H18),ISNUMBER(H17)),H18+H17,"n.a.")</x:f>
        <x:v>195000</x:v>
      </x:c>
      <x:c r="I19" s="57" t="n">
        <x:f>IF(AND(ISNUMBER(I18),ISNUMBER(I17)),I18+I17,"n.a.")</x:f>
        <x:v>195000</x:v>
      </x:c>
      <x:c r="J19" s="57" t="n">
        <x:f>IF(AND(ISNUMBER(J18),ISNUMBER(J17)),J18+J17,"n.a.")</x:f>
        <x:v>195000</x:v>
      </x:c>
      <x:c r="K19" s="57" t="n">
        <x:f>IF(AND(ISNUMBER(K18),ISNUMBER(K17)),K18+K17,"n.a.")</x:f>
        <x:v>195000</x:v>
      </x:c>
      <x:c r="L19" s="57" t="n">
        <x:f>IF(AND(ISNUMBER(L18),ISNUMBER(L17)),L18+L17,"n.a.")</x:f>
        <x:v>195000</x:v>
      </x:c>
      <x:c r="M19" s="57" t="n">
        <x:f>IF(AND(ISNUMBER(M18),ISNUMBER(M17)),M18+M17,"n.a.")</x:f>
        <x:v>195000</x:v>
      </x:c>
      <x:c r="N19" s="57" t="n">
        <x:f>IF(AND(ISNUMBER(N18),ISNUMBER(N17)),N18+N17,"n.a.")</x:f>
        <x:v>195000</x:v>
      </x:c>
      <x:c r="O19" s="57" t="n">
        <x:f>IF(AND(ISNUMBER(O18),ISNUMBER(O17)),O18+O17,"n.a.")</x:f>
        <x:v>195000</x:v>
      </x:c>
      <x:c r="P19" s="57" t="n">
        <x:f>IF(AND(ISNUMBER(P18),ISNUMBER(P17)),P18+P17,"n.a.")</x:f>
        <x:v>195000</x:v>
      </x:c>
      <x:c r="Q19" s="57" t="n">
        <x:f>IF(AND(ISNUMBER(Q18),ISNUMBER(Q17)),Q18+Q17,"n.a.")</x:f>
        <x:v>195000</x:v>
      </x:c>
      <x:c r="R19" s="57" t="n">
        <x:f>IF(AND(ISNUMBER(R18),ISNUMBER(R17)),R18+R17,"n.a.")</x:f>
        <x:v>195000</x:v>
      </x:c>
    </x:row>
    <x:row r="20" ht="21" customHeight="1">
      <x:c r="A20" s="2"/>
      <x:c r="B20" s="2"/>
      <x:c r="C20" s="2" t="str">
        <x:v>External property cash costs</x:v>
      </x:c>
      <x:c r="D20" s="2" t="str">
        <x:v>USD</x:v>
      </x:c>
      <x:c r="E20" s="52" t="n">
        <x:f>IF(COUNT(G20:R20)=12,SUM(G20:R20),"n.a.")</x:f>
        <x:v>72000</x:v>
      </x:c>
      <x:c r="F20" s="2"/>
      <x:c r="G20" s="51" t="n">
        <x:f>IF(AND(ISNUMBER('Assumptions'!$D$76),ISNUMBER('Assumptions'!$D$67)),'Assumptions'!$D$76*'Assumptions'!$D$67,"n.a.")</x:f>
        <x:v>6000</x:v>
      </x:c>
      <x:c r="H20" s="51" t="n">
        <x:f>IF(AND(ISNUMBER('Assumptions'!$D$76),ISNUMBER('Assumptions'!$D$67)),'Assumptions'!$D$76*'Assumptions'!$D$67,"n.a.")</x:f>
        <x:v>6000</x:v>
      </x:c>
      <x:c r="I20" s="51" t="n">
        <x:f>IF(AND(ISNUMBER('Assumptions'!$D$76),ISNUMBER('Assumptions'!$D$67)),'Assumptions'!$D$76*'Assumptions'!$D$67,"n.a.")</x:f>
        <x:v>6000</x:v>
      </x:c>
      <x:c r="J20" s="51" t="n">
        <x:f>IF(AND(ISNUMBER('Assumptions'!$D$76),ISNUMBER('Assumptions'!$D$67)),'Assumptions'!$D$76*'Assumptions'!$D$67,"n.a.")</x:f>
        <x:v>6000</x:v>
      </x:c>
      <x:c r="K20" s="51" t="n">
        <x:f>IF(AND(ISNUMBER('Assumptions'!$D$76),ISNUMBER('Assumptions'!$D$67)),'Assumptions'!$D$76*'Assumptions'!$D$67,"n.a.")</x:f>
        <x:v>6000</x:v>
      </x:c>
      <x:c r="L20" s="51" t="n">
        <x:f>IF(AND(ISNUMBER('Assumptions'!$D$76),ISNUMBER('Assumptions'!$D$67)),'Assumptions'!$D$76*'Assumptions'!$D$67,"n.a.")</x:f>
        <x:v>6000</x:v>
      </x:c>
      <x:c r="M20" s="51" t="n">
        <x:f>IF(AND(ISNUMBER('Assumptions'!$D$76),ISNUMBER('Assumptions'!$D$67)),'Assumptions'!$D$76*'Assumptions'!$D$67,"n.a.")</x:f>
        <x:v>6000</x:v>
      </x:c>
      <x:c r="N20" s="51" t="n">
        <x:f>IF(AND(ISNUMBER('Assumptions'!$D$76),ISNUMBER('Assumptions'!$D$67)),'Assumptions'!$D$76*'Assumptions'!$D$67,"n.a.")</x:f>
        <x:v>6000</x:v>
      </x:c>
      <x:c r="O20" s="51" t="n">
        <x:f>IF(AND(ISNUMBER('Assumptions'!$D$76),ISNUMBER('Assumptions'!$D$67)),'Assumptions'!$D$76*'Assumptions'!$D$67,"n.a.")</x:f>
        <x:v>6000</x:v>
      </x:c>
      <x:c r="P20" s="51" t="n">
        <x:f>IF(AND(ISNUMBER('Assumptions'!$D$76),ISNUMBER('Assumptions'!$D$67)),'Assumptions'!$D$76*'Assumptions'!$D$67,"n.a.")</x:f>
        <x:v>6000</x:v>
      </x:c>
      <x:c r="Q20" s="51" t="n">
        <x:f>IF(AND(ISNUMBER('Assumptions'!$D$76),ISNUMBER('Assumptions'!$D$67)),'Assumptions'!$D$76*'Assumptions'!$D$67,"n.a.")</x:f>
        <x:v>6000</x:v>
      </x:c>
      <x:c r="R20" s="51" t="n">
        <x:f>IF(AND(ISNUMBER('Assumptions'!$D$76),ISNUMBER('Assumptions'!$D$67)),'Assumptions'!$D$76*'Assumptions'!$D$67,"n.a.")</x:f>
        <x:v>6000</x:v>
      </x:c>
    </x:row>
    <x:row r="21" ht="21" customHeight="1">
      <x:c r="A21" s="2"/>
      <x:c r="B21" s="2"/>
      <x:c r="C21" s="2" t="str">
        <x:v>Other business debt service</x:v>
      </x:c>
      <x:c r="D21" s="2" t="str">
        <x:v>USD</x:v>
      </x:c>
      <x:c r="E21" s="52" t="n">
        <x:f>IF(COUNT(G21:R21)=12,SUM(G21:R21),"n.a.")</x:f>
        <x:v>72000</x:v>
      </x:c>
      <x:c r="F21" s="2"/>
      <x:c r="G21" s="51" t="n">
        <x:f>IF(AND(ISNUMBER('Assumptions'!$D$79)),'Assumptions'!$D$79,"n.a.")</x:f>
        <x:v>6000</x:v>
      </x:c>
      <x:c r="H21" s="51" t="n">
        <x:f>IF(AND(ISNUMBER('Assumptions'!$D$79)),'Assumptions'!$D$79,"n.a.")</x:f>
        <x:v>6000</x:v>
      </x:c>
      <x:c r="I21" s="51" t="n">
        <x:f>IF(AND(ISNUMBER('Assumptions'!$D$79)),'Assumptions'!$D$79,"n.a.")</x:f>
        <x:v>6000</x:v>
      </x:c>
      <x:c r="J21" s="51" t="n">
        <x:f>IF(AND(ISNUMBER('Assumptions'!$D$79)),'Assumptions'!$D$79,"n.a.")</x:f>
        <x:v>6000</x:v>
      </x:c>
      <x:c r="K21" s="51" t="n">
        <x:f>IF(AND(ISNUMBER('Assumptions'!$D$79)),'Assumptions'!$D$79,"n.a.")</x:f>
        <x:v>6000</x:v>
      </x:c>
      <x:c r="L21" s="51" t="n">
        <x:f>IF(AND(ISNUMBER('Assumptions'!$D$79)),'Assumptions'!$D$79,"n.a.")</x:f>
        <x:v>6000</x:v>
      </x:c>
      <x:c r="M21" s="51" t="n">
        <x:f>IF(AND(ISNUMBER('Assumptions'!$D$79)),'Assumptions'!$D$79,"n.a.")</x:f>
        <x:v>6000</x:v>
      </x:c>
      <x:c r="N21" s="51" t="n">
        <x:f>IF(AND(ISNUMBER('Assumptions'!$D$79)),'Assumptions'!$D$79,"n.a.")</x:f>
        <x:v>6000</x:v>
      </x:c>
      <x:c r="O21" s="51" t="n">
        <x:f>IF(AND(ISNUMBER('Assumptions'!$D$79)),'Assumptions'!$D$79,"n.a.")</x:f>
        <x:v>6000</x:v>
      </x:c>
      <x:c r="P21" s="51" t="n">
        <x:f>IF(AND(ISNUMBER('Assumptions'!$D$79)),'Assumptions'!$D$79,"n.a.")</x:f>
        <x:v>6000</x:v>
      </x:c>
      <x:c r="Q21" s="51" t="n">
        <x:f>IF(AND(ISNUMBER('Assumptions'!$D$79)),'Assumptions'!$D$79,"n.a.")</x:f>
        <x:v>6000</x:v>
      </x:c>
      <x:c r="R21" s="51" t="n">
        <x:f>IF(AND(ISNUMBER('Assumptions'!$D$79)),'Assumptions'!$D$79,"n.a.")</x:f>
        <x:v>6000</x:v>
      </x:c>
    </x:row>
    <x:row r="22" ht="21" customHeight="1">
      <x:c r="A22" s="2"/>
      <x:c r="B22" s="2"/>
      <x:c r="C22" s="2" t="str">
        <x:v>Cash taxes and distributions</x:v>
      </x:c>
      <x:c r="D22" s="2" t="str">
        <x:v>USD</x:v>
      </x:c>
      <x:c r="E22" s="52" t="n">
        <x:f>IF(COUNT(G22:R22)=12,SUM(G22:R22),"n.a.")</x:f>
        <x:v>36000</x:v>
      </x:c>
      <x:c r="F22" s="2"/>
      <x:c r="G22" s="51" t="n">
        <x:f>IF(AND(ISNUMBER('Assumptions'!$D$82)),'Assumptions'!$D$82,"n.a.")</x:f>
        <x:v>3000</x:v>
      </x:c>
      <x:c r="H22" s="51" t="n">
        <x:f>IF(AND(ISNUMBER('Assumptions'!$D$82)),'Assumptions'!$D$82,"n.a.")</x:f>
        <x:v>3000</x:v>
      </x:c>
      <x:c r="I22" s="51" t="n">
        <x:f>IF(AND(ISNUMBER('Assumptions'!$D$82)),'Assumptions'!$D$82,"n.a.")</x:f>
        <x:v>3000</x:v>
      </x:c>
      <x:c r="J22" s="51" t="n">
        <x:f>IF(AND(ISNUMBER('Assumptions'!$D$82)),'Assumptions'!$D$82,"n.a.")</x:f>
        <x:v>3000</x:v>
      </x:c>
      <x:c r="K22" s="51" t="n">
        <x:f>IF(AND(ISNUMBER('Assumptions'!$D$82)),'Assumptions'!$D$82,"n.a.")</x:f>
        <x:v>3000</x:v>
      </x:c>
      <x:c r="L22" s="51" t="n">
        <x:f>IF(AND(ISNUMBER('Assumptions'!$D$82)),'Assumptions'!$D$82,"n.a.")</x:f>
        <x:v>3000</x:v>
      </x:c>
      <x:c r="M22" s="51" t="n">
        <x:f>IF(AND(ISNUMBER('Assumptions'!$D$82)),'Assumptions'!$D$82,"n.a.")</x:f>
        <x:v>3000</x:v>
      </x:c>
      <x:c r="N22" s="51" t="n">
        <x:f>IF(AND(ISNUMBER('Assumptions'!$D$82)),'Assumptions'!$D$82,"n.a.")</x:f>
        <x:v>3000</x:v>
      </x:c>
      <x:c r="O22" s="51" t="n">
        <x:f>IF(AND(ISNUMBER('Assumptions'!$D$82)),'Assumptions'!$D$82,"n.a.")</x:f>
        <x:v>3000</x:v>
      </x:c>
      <x:c r="P22" s="51" t="n">
        <x:f>IF(AND(ISNUMBER('Assumptions'!$D$82)),'Assumptions'!$D$82,"n.a.")</x:f>
        <x:v>3000</x:v>
      </x:c>
      <x:c r="Q22" s="51" t="n">
        <x:f>IF(AND(ISNUMBER('Assumptions'!$D$82)),'Assumptions'!$D$82,"n.a.")</x:f>
        <x:v>3000</x:v>
      </x:c>
      <x:c r="R22" s="51" t="n">
        <x:f>IF(AND(ISNUMBER('Assumptions'!$D$82)),'Assumptions'!$D$82,"n.a.")</x:f>
        <x:v>3000</x:v>
      </x:c>
    </x:row>
    <x:row r="23" ht="21" customHeight="1">
      <x:c r="A23" s="2"/>
      <x:c r="B23" s="2"/>
      <x:c r="C23" s="2" t="str">
        <x:v>Maintenance capital deducted once</x:v>
      </x:c>
      <x:c r="D23" s="2" t="str">
        <x:v>USD</x:v>
      </x:c>
      <x:c r="E23" s="52" t="n">
        <x:f>IF(COUNT(G23:R23)=12,SUM(G23:R23),"n.a.")</x:f>
        <x:v>18000</x:v>
      </x:c>
      <x:c r="F23" s="2"/>
      <x:c r="G23" s="51" t="n">
        <x:f>IF(AND(ISNUMBER('Assumptions'!$D$85),ISNUMBER('Assumptions'!$D$70)),'Assumptions'!$D$85*'Assumptions'!$D$70,"n.a.")</x:f>
        <x:v>1500</x:v>
      </x:c>
      <x:c r="H23" s="51" t="n">
        <x:f>IF(AND(ISNUMBER('Assumptions'!$D$85),ISNUMBER('Assumptions'!$D$70)),'Assumptions'!$D$85*'Assumptions'!$D$70,"n.a.")</x:f>
        <x:v>1500</x:v>
      </x:c>
      <x:c r="I23" s="51" t="n">
        <x:f>IF(AND(ISNUMBER('Assumptions'!$D$85),ISNUMBER('Assumptions'!$D$70)),'Assumptions'!$D$85*'Assumptions'!$D$70,"n.a.")</x:f>
        <x:v>1500</x:v>
      </x:c>
      <x:c r="J23" s="51" t="n">
        <x:f>IF(AND(ISNUMBER('Assumptions'!$D$85),ISNUMBER('Assumptions'!$D$70)),'Assumptions'!$D$85*'Assumptions'!$D$70,"n.a.")</x:f>
        <x:v>1500</x:v>
      </x:c>
      <x:c r="K23" s="51" t="n">
        <x:f>IF(AND(ISNUMBER('Assumptions'!$D$85),ISNUMBER('Assumptions'!$D$70)),'Assumptions'!$D$85*'Assumptions'!$D$70,"n.a.")</x:f>
        <x:v>1500</x:v>
      </x:c>
      <x:c r="L23" s="51" t="n">
        <x:f>IF(AND(ISNUMBER('Assumptions'!$D$85),ISNUMBER('Assumptions'!$D$70)),'Assumptions'!$D$85*'Assumptions'!$D$70,"n.a.")</x:f>
        <x:v>1500</x:v>
      </x:c>
      <x:c r="M23" s="51" t="n">
        <x:f>IF(AND(ISNUMBER('Assumptions'!$D$85),ISNUMBER('Assumptions'!$D$70)),'Assumptions'!$D$85*'Assumptions'!$D$70,"n.a.")</x:f>
        <x:v>1500</x:v>
      </x:c>
      <x:c r="N23" s="51" t="n">
        <x:f>IF(AND(ISNUMBER('Assumptions'!$D$85),ISNUMBER('Assumptions'!$D$70)),'Assumptions'!$D$85*'Assumptions'!$D$70,"n.a.")</x:f>
        <x:v>1500</x:v>
      </x:c>
      <x:c r="O23" s="51" t="n">
        <x:f>IF(AND(ISNUMBER('Assumptions'!$D$85),ISNUMBER('Assumptions'!$D$70)),'Assumptions'!$D$85*'Assumptions'!$D$70,"n.a.")</x:f>
        <x:v>1500</x:v>
      </x:c>
      <x:c r="P23" s="51" t="n">
        <x:f>IF(AND(ISNUMBER('Assumptions'!$D$85),ISNUMBER('Assumptions'!$D$70)),'Assumptions'!$D$85*'Assumptions'!$D$70,"n.a.")</x:f>
        <x:v>1500</x:v>
      </x:c>
      <x:c r="Q23" s="51" t="n">
        <x:f>IF(AND(ISNUMBER('Assumptions'!$D$85),ISNUMBER('Assumptions'!$D$70)),'Assumptions'!$D$85*'Assumptions'!$D$70,"n.a.")</x:f>
        <x:v>1500</x:v>
      </x:c>
      <x:c r="R23" s="51" t="n">
        <x:f>IF(AND(ISNUMBER('Assumptions'!$D$85),ISNUMBER('Assumptions'!$D$70)),'Assumptions'!$D$85*'Assumptions'!$D$70,"n.a.")</x:f>
        <x:v>1500</x:v>
      </x:c>
    </x:row>
    <x:row r="24" ht="21" customHeight="1">
      <x:c r="A24" s="2"/>
      <x:c r="B24" s="2"/>
      <x:c r="C24" s="2" t="str">
        <x:v>Operating and outside cash obligations</x:v>
      </x:c>
      <x:c r="D24" s="2" t="str">
        <x:v>USD</x:v>
      </x:c>
      <x:c r="E24" s="52" t="n">
        <x:f>IF(COUNT(G24:R24)=12,SUM(G24:R24),"n.a.")</x:f>
        <x:v>2132760</x:v>
      </x:c>
      <x:c r="F24" s="2"/>
      <x:c r="G24" s="52" t="n">
        <x:f>IF(AND(ISNUMBER(G16),ISNUMBER(G20),ISNUMBER(G21),ISNUMBER(G22),ISNUMBER(G23)),G16+G20+G21+G22+G23,"n.a.")</x:f>
        <x:v>177730</x:v>
      </x:c>
      <x:c r="H24" s="52" t="n">
        <x:f>IF(AND(ISNUMBER(H16),ISNUMBER(H20),ISNUMBER(H21),ISNUMBER(H22),ISNUMBER(H23)),H16+H20+H21+H22+H23,"n.a.")</x:f>
        <x:v>177730</x:v>
      </x:c>
      <x:c r="I24" s="52" t="n">
        <x:f>IF(AND(ISNUMBER(I16),ISNUMBER(I20),ISNUMBER(I21),ISNUMBER(I22),ISNUMBER(I23)),I16+I20+I21+I22+I23,"n.a.")</x:f>
        <x:v>177730</x:v>
      </x:c>
      <x:c r="J24" s="52" t="n">
        <x:f>IF(AND(ISNUMBER(J16),ISNUMBER(J20),ISNUMBER(J21),ISNUMBER(J22),ISNUMBER(J23)),J16+J20+J21+J22+J23,"n.a.")</x:f>
        <x:v>177730</x:v>
      </x:c>
      <x:c r="K24" s="52" t="n">
        <x:f>IF(AND(ISNUMBER(K16),ISNUMBER(K20),ISNUMBER(K21),ISNUMBER(K22),ISNUMBER(K23)),K16+K20+K21+K22+K23,"n.a.")</x:f>
        <x:v>177730</x:v>
      </x:c>
      <x:c r="L24" s="52" t="n">
        <x:f>IF(AND(ISNUMBER(L16),ISNUMBER(L20),ISNUMBER(L21),ISNUMBER(L22),ISNUMBER(L23)),L16+L20+L21+L22+L23,"n.a.")</x:f>
        <x:v>177730</x:v>
      </x:c>
      <x:c r="M24" s="52" t="n">
        <x:f>IF(AND(ISNUMBER(M16),ISNUMBER(M20),ISNUMBER(M21),ISNUMBER(M22),ISNUMBER(M23)),M16+M20+M21+M22+M23,"n.a.")</x:f>
        <x:v>177730</x:v>
      </x:c>
      <x:c r="N24" s="52" t="n">
        <x:f>IF(AND(ISNUMBER(N16),ISNUMBER(N20),ISNUMBER(N21),ISNUMBER(N22),ISNUMBER(N23)),N16+N20+N21+N22+N23,"n.a.")</x:f>
        <x:v>177730</x:v>
      </x:c>
      <x:c r="O24" s="52" t="n">
        <x:f>IF(AND(ISNUMBER(O16),ISNUMBER(O20),ISNUMBER(O21),ISNUMBER(O22),ISNUMBER(O23)),O16+O20+O21+O22+O23,"n.a.")</x:f>
        <x:v>177730</x:v>
      </x:c>
      <x:c r="P24" s="52" t="n">
        <x:f>IF(AND(ISNUMBER(P16),ISNUMBER(P20),ISNUMBER(P21),ISNUMBER(P22),ISNUMBER(P23)),P16+P20+P21+P22+P23,"n.a.")</x:f>
        <x:v>177730</x:v>
      </x:c>
      <x:c r="Q24" s="52" t="n">
        <x:f>IF(AND(ISNUMBER(Q16),ISNUMBER(Q20),ISNUMBER(Q21),ISNUMBER(Q22),ISNUMBER(Q23)),Q16+Q20+Q21+Q22+Q23,"n.a.")</x:f>
        <x:v>177730</x:v>
      </x:c>
      <x:c r="R24" s="52" t="n">
        <x:f>IF(AND(ISNUMBER(R16),ISNUMBER(R20),ISNUMBER(R21),ISNUMBER(R22),ISNUMBER(R23)),R16+R20+R21+R22+R23,"n.a.")</x:f>
        <x:v>177730</x:v>
      </x:c>
    </x:row>
    <x:row r="25" ht="21" customHeight="1">
      <x:c r="A25" s="2"/>
      <x:c r="B25" s="2"/>
      <x:c r="C25" s="2" t="str">
        <x:v>Additional expansion / property capital</x:v>
      </x:c>
      <x:c r="D25" s="2" t="str">
        <x:v>USD</x:v>
      </x:c>
      <x:c r="E25" s="52" t="n">
        <x:f>IF(COUNT(G25:R25)=12,SUM(G25:R25),"n.a.")</x:f>
        <x:v>90000</x:v>
      </x:c>
      <x:c r="F25" s="2"/>
      <x:c r="G25" s="51" t="n">
        <x:f>IF(AND('Sales Channels'!N10="OK"),IF(AND(ISNUMBER('Sales Channels'!$M$10),ISNUMBER('Assumptions'!$D$70)),'Sales Channels'!$M$10*'Assumptions'!$D$70,"n.a."),"n.a.")</x:f>
        <x:v>0</x:v>
      </x:c>
      <x:c r="H25" s="51" t="n">
        <x:f>IF(AND('Sales Channels'!N11="OK"),IF(AND(ISNUMBER('Sales Channels'!$M$11),ISNUMBER('Assumptions'!$D$70)),'Sales Channels'!$M$11*'Assumptions'!$D$70,"n.a."),"n.a.")</x:f>
        <x:v>0</x:v>
      </x:c>
      <x:c r="I25" s="51" t="n">
        <x:f>IF(AND('Sales Channels'!N12="OK"),IF(AND(ISNUMBER('Sales Channels'!$M$12),ISNUMBER('Assumptions'!$D$70)),'Sales Channels'!$M$12*'Assumptions'!$D$70,"n.a."),"n.a.")</x:f>
        <x:v>0</x:v>
      </x:c>
      <x:c r="J25" s="51" t="n">
        <x:f>IF(AND('Sales Channels'!N13="OK"),IF(AND(ISNUMBER('Sales Channels'!$M$13),ISNUMBER('Assumptions'!$D$70)),'Sales Channels'!$M$13*'Assumptions'!$D$70,"n.a."),"n.a.")</x:f>
        <x:v>0</x:v>
      </x:c>
      <x:c r="K25" s="51" t="n">
        <x:f>IF(AND('Sales Channels'!N14="OK"),IF(AND(ISNUMBER('Sales Channels'!$M$14),ISNUMBER('Assumptions'!$D$70)),'Sales Channels'!$M$14*'Assumptions'!$D$70,"n.a."),"n.a.")</x:f>
        <x:v>0</x:v>
      </x:c>
      <x:c r="L25" s="51" t="n">
        <x:f>IF(AND('Sales Channels'!N15="OK"),IF(AND(ISNUMBER('Sales Channels'!$M$15),ISNUMBER('Assumptions'!$D$70)),'Sales Channels'!$M$15*'Assumptions'!$D$70,"n.a."),"n.a.")</x:f>
        <x:v>0</x:v>
      </x:c>
      <x:c r="M25" s="51" t="n">
        <x:f>IF(AND('Sales Channels'!N16="OK"),IF(AND(ISNUMBER('Sales Channels'!$M$16),ISNUMBER('Assumptions'!$D$70)),'Sales Channels'!$M$16*'Assumptions'!$D$70,"n.a."),"n.a.")</x:f>
        <x:v>0</x:v>
      </x:c>
      <x:c r="N25" s="51" t="n">
        <x:f>IF(AND('Sales Channels'!N17="OK"),IF(AND(ISNUMBER('Sales Channels'!$M$17),ISNUMBER('Assumptions'!$D$70)),'Sales Channels'!$M$17*'Assumptions'!$D$70,"n.a."),"n.a.")</x:f>
        <x:v>90000</x:v>
      </x:c>
      <x:c r="O25" s="51" t="n">
        <x:f>IF(AND('Sales Channels'!N18="OK"),IF(AND(ISNUMBER('Sales Channels'!$M$18),ISNUMBER('Assumptions'!$D$70)),'Sales Channels'!$M$18*'Assumptions'!$D$70,"n.a."),"n.a.")</x:f>
        <x:v>0</x:v>
      </x:c>
      <x:c r="P25" s="51" t="n">
        <x:f>IF(AND('Sales Channels'!N19="OK"),IF(AND(ISNUMBER('Sales Channels'!$M$19),ISNUMBER('Assumptions'!$D$70)),'Sales Channels'!$M$19*'Assumptions'!$D$70,"n.a."),"n.a.")</x:f>
        <x:v>0</x:v>
      </x:c>
      <x:c r="Q25" s="51" t="n">
        <x:f>IF(AND('Sales Channels'!N20="OK"),IF(AND(ISNUMBER('Sales Channels'!$M$20),ISNUMBER('Assumptions'!$D$70)),'Sales Channels'!$M$20*'Assumptions'!$D$70,"n.a."),"n.a.")</x:f>
        <x:v>0</x:v>
      </x:c>
      <x:c r="R25" s="51" t="n">
        <x:f>IF(AND('Sales Channels'!N21="OK"),IF(AND(ISNUMBER('Sales Channels'!$M$21),ISNUMBER('Assumptions'!$D$70)),'Sales Channels'!$M$21*'Assumptions'!$D$70,"n.a."),"n.a.")</x:f>
        <x:v>0</x:v>
      </x:c>
    </x:row>
    <x:row r="26" ht="21" customHeight="1">
      <x:c r="A26" s="2"/>
      <x:c r="B26" s="2"/>
      <x:c r="C26" s="2" t="str">
        <x:v>Fixed property / entity costs</x:v>
      </x:c>
      <x:c r="D26" s="2" t="str">
        <x:v>USD</x:v>
      </x:c>
      <x:c r="E26" s="52" t="n">
        <x:f>IF(COUNT(G26:R26)=12,SUM(G26:R26),"n.a.")</x:f>
        <x:v>0</x:v>
      </x:c>
      <x:c r="F26" s="2"/>
      <x:c r="G26" s="51" t="n">
        <x:f>IF(AND(ISNUMBER('Assumptions'!$D$55)),'Assumptions'!$D$55/12,"n.a.")</x:f>
        <x:v>0</x:v>
      </x:c>
      <x:c r="H26" s="51" t="n">
        <x:f>IF(AND(ISNUMBER('Assumptions'!$D$55)),'Assumptions'!$D$55/12,"n.a.")</x:f>
        <x:v>0</x:v>
      </x:c>
      <x:c r="I26" s="51" t="n">
        <x:f>IF(AND(ISNUMBER('Assumptions'!$D$55)),'Assumptions'!$D$55/12,"n.a.")</x:f>
        <x:v>0</x:v>
      </x:c>
      <x:c r="J26" s="51" t="n">
        <x:f>IF(AND(ISNUMBER('Assumptions'!$D$55)),'Assumptions'!$D$55/12,"n.a.")</x:f>
        <x:v>0</x:v>
      </x:c>
      <x:c r="K26" s="51" t="n">
        <x:f>IF(AND(ISNUMBER('Assumptions'!$D$55)),'Assumptions'!$D$55/12,"n.a.")</x:f>
        <x:v>0</x:v>
      </x:c>
      <x:c r="L26" s="51" t="n">
        <x:f>IF(AND(ISNUMBER('Assumptions'!$D$55)),'Assumptions'!$D$55/12,"n.a.")</x:f>
        <x:v>0</x:v>
      </x:c>
      <x:c r="M26" s="51" t="n">
        <x:f>IF(AND(ISNUMBER('Assumptions'!$D$55)),'Assumptions'!$D$55/12,"n.a.")</x:f>
        <x:v>0</x:v>
      </x:c>
      <x:c r="N26" s="51" t="n">
        <x:f>IF(AND(ISNUMBER('Assumptions'!$D$55)),'Assumptions'!$D$55/12,"n.a.")</x:f>
        <x:v>0</x:v>
      </x:c>
      <x:c r="O26" s="51" t="n">
        <x:f>IF(AND(ISNUMBER('Assumptions'!$D$55)),'Assumptions'!$D$55/12,"n.a.")</x:f>
        <x:v>0</x:v>
      </x:c>
      <x:c r="P26" s="51" t="n">
        <x:f>IF(AND(ISNUMBER('Assumptions'!$D$55)),'Assumptions'!$D$55/12,"n.a.")</x:f>
        <x:v>0</x:v>
      </x:c>
      <x:c r="Q26" s="51" t="n">
        <x:f>IF(AND(ISNUMBER('Assumptions'!$D$55)),'Assumptions'!$D$55/12,"n.a.")</x:f>
        <x:v>0</x:v>
      </x:c>
      <x:c r="R26" s="51" t="n">
        <x:f>IF(AND(ISNUMBER('Assumptions'!$D$55)),'Assumptions'!$D$55/12,"n.a.")</x:f>
        <x:v>0</x:v>
      </x:c>
    </x:row>
    <x:row r="27" ht="21" customHeight="1">
      <x:c r="A27" s="2"/>
      <x:c r="B27" s="2"/>
      <x:c r="C27" s="56" t="str">
        <x:v>Total cash operating costs</x:v>
      </x:c>
      <x:c r="D27" s="56" t="str">
        <x:v>USD</x:v>
      </x:c>
      <x:c r="E27" s="57" t="n">
        <x:f>IF(COUNT(G27:R27)=12,SUM(G27:R27),"n.a.")</x:f>
        <x:v>2132760</x:v>
      </x:c>
      <x:c r="F27" s="56"/>
      <x:c r="G27" s="57" t="n">
        <x:f>IF(AND(ISNUMBER(G24),ISNUMBER(G26)),G24+G26,"n.a.")</x:f>
        <x:v>177730</x:v>
      </x:c>
      <x:c r="H27" s="57" t="n">
        <x:f>IF(AND(ISNUMBER(H24),ISNUMBER(H26)),H24+H26,"n.a.")</x:f>
        <x:v>177730</x:v>
      </x:c>
      <x:c r="I27" s="57" t="n">
        <x:f>IF(AND(ISNUMBER(I24),ISNUMBER(I26)),I24+I26,"n.a.")</x:f>
        <x:v>177730</x:v>
      </x:c>
      <x:c r="J27" s="57" t="n">
        <x:f>IF(AND(ISNUMBER(J24),ISNUMBER(J26)),J24+J26,"n.a.")</x:f>
        <x:v>177730</x:v>
      </x:c>
      <x:c r="K27" s="57" t="n">
        <x:f>IF(AND(ISNUMBER(K24),ISNUMBER(K26)),K24+K26,"n.a.")</x:f>
        <x:v>177730</x:v>
      </x:c>
      <x:c r="L27" s="57" t="n">
        <x:f>IF(AND(ISNUMBER(L24),ISNUMBER(L26)),L24+L26,"n.a.")</x:f>
        <x:v>177730</x:v>
      </x:c>
      <x:c r="M27" s="57" t="n">
        <x:f>IF(AND(ISNUMBER(M24),ISNUMBER(M26)),M24+M26,"n.a.")</x:f>
        <x:v>177730</x:v>
      </x:c>
      <x:c r="N27" s="57" t="n">
        <x:f>IF(AND(ISNUMBER(N24),ISNUMBER(N26)),N24+N26,"n.a.")</x:f>
        <x:v>177730</x:v>
      </x:c>
      <x:c r="O27" s="57" t="n">
        <x:f>IF(AND(ISNUMBER(O24),ISNUMBER(O26)),O24+O26,"n.a.")</x:f>
        <x:v>177730</x:v>
      </x:c>
      <x:c r="P27" s="57" t="n">
        <x:f>IF(AND(ISNUMBER(P24),ISNUMBER(P26)),P24+P26,"n.a.")</x:f>
        <x:v>177730</x:v>
      </x:c>
      <x:c r="Q27" s="57" t="n">
        <x:f>IF(AND(ISNUMBER(Q24),ISNUMBER(Q26)),Q24+Q26,"n.a.")</x:f>
        <x:v>177730</x:v>
      </x:c>
      <x:c r="R27" s="57" t="n">
        <x:f>IF(AND(ISNUMBER(R24),ISNUMBER(R26)),R24+R26,"n.a.")</x:f>
        <x:v>177730</x:v>
      </x:c>
    </x:row>
    <x:row r="28" ht="21" customHeight="1">
      <x:c r="A28" s="2"/>
      <x:c r="B28" s="2"/>
      <x:c r="C28" s="56" t="str">
        <x:v>Combined cash after listed obligations</x:v>
      </x:c>
      <x:c r="D28" s="56" t="str">
        <x:v>USD</x:v>
      </x:c>
      <x:c r="E28" s="57" t="n">
        <x:f>IF(COUNT(G28:R28)=12,SUM(G28:R28),"n.a.")</x:f>
        <x:v>207240</x:v>
      </x:c>
      <x:c r="F28" s="56"/>
      <x:c r="G28" s="57" t="n">
        <x:f>IF(AND(ISNUMBER(G19),ISNUMBER(G27)),G19-G27,"n.a.")</x:f>
        <x:v>17270</x:v>
      </x:c>
      <x:c r="H28" s="57" t="n">
        <x:f>IF(AND(ISNUMBER(H19),ISNUMBER(H27)),H19-H27,"n.a.")</x:f>
        <x:v>17270</x:v>
      </x:c>
      <x:c r="I28" s="57" t="n">
        <x:f>IF(AND(ISNUMBER(I19),ISNUMBER(I27)),I19-I27,"n.a.")</x:f>
        <x:v>17270</x:v>
      </x:c>
      <x:c r="J28" s="57" t="n">
        <x:f>IF(AND(ISNUMBER(J19),ISNUMBER(J27)),J19-J27,"n.a.")</x:f>
        <x:v>17270</x:v>
      </x:c>
      <x:c r="K28" s="57" t="n">
        <x:f>IF(AND(ISNUMBER(K19),ISNUMBER(K27)),K19-K27,"n.a.")</x:f>
        <x:v>17270</x:v>
      </x:c>
      <x:c r="L28" s="57" t="n">
        <x:f>IF(AND(ISNUMBER(L19),ISNUMBER(L27)),L19-L27,"n.a.")</x:f>
        <x:v>17270</x:v>
      </x:c>
      <x:c r="M28" s="57" t="n">
        <x:f>IF(AND(ISNUMBER(M19),ISNUMBER(M27)),M19-M27,"n.a.")</x:f>
        <x:v>17270</x:v>
      </x:c>
      <x:c r="N28" s="57" t="n">
        <x:f>IF(AND(ISNUMBER(N19),ISNUMBER(N27)),N19-N27,"n.a.")</x:f>
        <x:v>17270</x:v>
      </x:c>
      <x:c r="O28" s="57" t="n">
        <x:f>IF(AND(ISNUMBER(O19),ISNUMBER(O27)),O19-O27,"n.a.")</x:f>
        <x:v>17270</x:v>
      </x:c>
      <x:c r="P28" s="57" t="n">
        <x:f>IF(AND(ISNUMBER(P19),ISNUMBER(P27)),P19-P27,"n.a.")</x:f>
        <x:v>17270</x:v>
      </x:c>
      <x:c r="Q28" s="57" t="n">
        <x:f>IF(AND(ISNUMBER(Q19),ISNUMBER(Q27)),Q19-Q27,"n.a.")</x:f>
        <x:v>17270</x:v>
      </x:c>
      <x:c r="R28" s="57" t="n">
        <x:f>IF(AND(ISNUMBER(R19),ISNUMBER(R27)),R19-R27,"n.a.")</x:f>
        <x:v>17270</x:v>
      </x:c>
    </x:row>
    <x:row r="29" ht="21" customHeight="1">
      <x:c r="A29" s="2"/>
      <x:c r="B29" s="2"/>
      <x:c r="C29" s="2" t="str">
        <x:v>Cash replacement reserve deposits</x:v>
      </x:c>
      <x:c r="D29" s="2" t="str">
        <x:v>USD</x:v>
      </x:c>
      <x:c r="E29" s="52" t="n">
        <x:f>IF(COUNT(G29:R29)=12,SUM(G29:R29),"n.a.")</x:f>
        <x:v>0</x:v>
      </x:c>
      <x:c r="F29" s="2"/>
      <x:c r="G29" s="51" t="n">
        <x:f>IF(AND(ISNUMBER(G19),ISNUMBER('Assumptions'!$D$58)),MAX(0,G19)*'Assumptions'!$D$58,"n.a.")</x:f>
        <x:v>0</x:v>
      </x:c>
      <x:c r="H29" s="51" t="n">
        <x:f>IF(AND(ISNUMBER(H19),ISNUMBER('Assumptions'!$D$58)),MAX(0,H19)*'Assumptions'!$D$58,"n.a.")</x:f>
        <x:v>0</x:v>
      </x:c>
      <x:c r="I29" s="51" t="n">
        <x:f>IF(AND(ISNUMBER(I19),ISNUMBER('Assumptions'!$D$58)),MAX(0,I19)*'Assumptions'!$D$58,"n.a.")</x:f>
        <x:v>0</x:v>
      </x:c>
      <x:c r="J29" s="51" t="n">
        <x:f>IF(AND(ISNUMBER(J19),ISNUMBER('Assumptions'!$D$58)),MAX(0,J19)*'Assumptions'!$D$58,"n.a.")</x:f>
        <x:v>0</x:v>
      </x:c>
      <x:c r="K29" s="51" t="n">
        <x:f>IF(AND(ISNUMBER(K19),ISNUMBER('Assumptions'!$D$58)),MAX(0,K19)*'Assumptions'!$D$58,"n.a.")</x:f>
        <x:v>0</x:v>
      </x:c>
      <x:c r="L29" s="51" t="n">
        <x:f>IF(AND(ISNUMBER(L19),ISNUMBER('Assumptions'!$D$58)),MAX(0,L19)*'Assumptions'!$D$58,"n.a.")</x:f>
        <x:v>0</x:v>
      </x:c>
      <x:c r="M29" s="51" t="n">
        <x:f>IF(AND(ISNUMBER(M19),ISNUMBER('Assumptions'!$D$58)),MAX(0,M19)*'Assumptions'!$D$58,"n.a.")</x:f>
        <x:v>0</x:v>
      </x:c>
      <x:c r="N29" s="51" t="n">
        <x:f>IF(AND(ISNUMBER(N19),ISNUMBER('Assumptions'!$D$58)),MAX(0,N19)*'Assumptions'!$D$58,"n.a.")</x:f>
        <x:v>0</x:v>
      </x:c>
      <x:c r="O29" s="51" t="n">
        <x:f>IF(AND(ISNUMBER(O19),ISNUMBER('Assumptions'!$D$58)),MAX(0,O19)*'Assumptions'!$D$58,"n.a.")</x:f>
        <x:v>0</x:v>
      </x:c>
      <x:c r="P29" s="51" t="n">
        <x:f>IF(AND(ISNUMBER(P19),ISNUMBER('Assumptions'!$D$58)),MAX(0,P19)*'Assumptions'!$D$58,"n.a.")</x:f>
        <x:v>0</x:v>
      </x:c>
      <x:c r="Q29" s="51" t="n">
        <x:f>IF(AND(ISNUMBER(Q19),ISNUMBER('Assumptions'!$D$58)),MAX(0,Q19)*'Assumptions'!$D$58,"n.a.")</x:f>
        <x:v>0</x:v>
      </x:c>
      <x:c r="R29" s="51" t="n">
        <x:f>IF(AND(ISNUMBER(R19),ISNUMBER('Assumptions'!$D$58)),MAX(0,R19)*'Assumptions'!$D$58,"n.a.")</x:f>
        <x:v>0</x:v>
      </x:c>
    </x:row>
    <x:row r="30" ht="21" customHeight="1">
      <x:c r="A30" s="2"/>
      <x:c r="B30" s="2"/>
      <x:c r="C30" s="56" t="str">
        <x:v>Cash NCF before property debt / capital</x:v>
      </x:c>
      <x:c r="D30" s="56" t="str">
        <x:v>USD</x:v>
      </x:c>
      <x:c r="E30" s="57" t="n">
        <x:f>IF(COUNT(G30:R30)=12,SUM(G30:R30),"n.a.")</x:f>
        <x:v>207240</x:v>
      </x:c>
      <x:c r="F30" s="56"/>
      <x:c r="G30" s="57" t="n">
        <x:f>IF(AND(ISNUMBER(G28),ISNUMBER(G29)),G28-G29,"n.a.")</x:f>
        <x:v>17270</x:v>
      </x:c>
      <x:c r="H30" s="57" t="n">
        <x:f>IF(AND(ISNUMBER(H28),ISNUMBER(H29)),H28-H29,"n.a.")</x:f>
        <x:v>17270</x:v>
      </x:c>
      <x:c r="I30" s="57" t="n">
        <x:f>IF(AND(ISNUMBER(I28),ISNUMBER(I29)),I28-I29,"n.a.")</x:f>
        <x:v>17270</x:v>
      </x:c>
      <x:c r="J30" s="57" t="n">
        <x:f>IF(AND(ISNUMBER(J28),ISNUMBER(J29)),J28-J29,"n.a.")</x:f>
        <x:v>17270</x:v>
      </x:c>
      <x:c r="K30" s="57" t="n">
        <x:f>IF(AND(ISNUMBER(K28),ISNUMBER(K29)),K28-K29,"n.a.")</x:f>
        <x:v>17270</x:v>
      </x:c>
      <x:c r="L30" s="57" t="n">
        <x:f>IF(AND(ISNUMBER(L28),ISNUMBER(L29)),L28-L29,"n.a.")</x:f>
        <x:v>17270</x:v>
      </x:c>
      <x:c r="M30" s="57" t="n">
        <x:f>IF(AND(ISNUMBER(M28),ISNUMBER(M29)),M28-M29,"n.a.")</x:f>
        <x:v>17270</x:v>
      </x:c>
      <x:c r="N30" s="57" t="n">
        <x:f>IF(AND(ISNUMBER(N28),ISNUMBER(N29)),N28-N29,"n.a.")</x:f>
        <x:v>17270</x:v>
      </x:c>
      <x:c r="O30" s="57" t="n">
        <x:f>IF(AND(ISNUMBER(O28),ISNUMBER(O29)),O28-O29,"n.a.")</x:f>
        <x:v>17270</x:v>
      </x:c>
      <x:c r="P30" s="57" t="n">
        <x:f>IF(AND(ISNUMBER(P28),ISNUMBER(P29)),P28-P29,"n.a.")</x:f>
        <x:v>17270</x:v>
      </x:c>
      <x:c r="Q30" s="57" t="n">
        <x:f>IF(AND(ISNUMBER(Q28),ISNUMBER(Q29)),Q28-Q29,"n.a.")</x:f>
        <x:v>17270</x:v>
      </x:c>
      <x:c r="R30" s="57" t="n">
        <x:f>IF(AND(ISNUMBER(R28),ISNUMBER(R29)),R28-R29,"n.a.")</x:f>
        <x:v>17270</x:v>
      </x:c>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IF(AND(ISNUMBER('Operations'!E30),ISNUMBER('Assumptions'!$D$52)),'Operations'!E30+'Assumptions'!$D$52,"n.a.")</x:f>
        <x:v>207240</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2046186.8284134804</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1365000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2302666.666666667</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1300000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8777.69309751934</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2095000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795000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205000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1191442.5965914982</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1300000</x:v>
      </x:c>
      <x:c r="H29" s="60" t="n">
        <x:f>IF(AND(ISNUMBER(G33)),G33,"n.a.")</x:f>
        <x:v>1300000</x:v>
      </x:c>
      <x:c r="I29" s="60" t="n">
        <x:f>IF(AND(ISNUMBER(H33)),H33,"n.a.")</x:f>
        <x:v>1300000</x:v>
      </x:c>
      <x:c r="J29" s="60" t="n">
        <x:f>IF(AND(ISNUMBER(I33)),I33,"n.a.")</x:f>
        <x:v>1300000</x:v>
      </x:c>
      <x:c r="K29" s="60" t="n">
        <x:f>IF(AND(ISNUMBER(J33)),J33,"n.a.")</x:f>
        <x:v>1300000</x:v>
      </x:c>
      <x:c r="L29" s="60" t="n">
        <x:f>IF(AND(ISNUMBER(K33)),K33,"n.a.")</x:f>
        <x:v>1300000</x:v>
      </x:c>
      <x:c r="M29" s="60" t="n">
        <x:f>IF(AND(ISNUMBER(L33)),L33,"n.a.")</x:f>
        <x:v>1300000</x:v>
      </x:c>
      <x:c r="N29" s="60" t="n">
        <x:f>IF(AND(ISNUMBER(M33)),M33,"n.a.")</x:f>
        <x:v>1298263.9735691473</x:v>
      </x:c>
      <x:c r="O29" s="60" t="n">
        <x:f>IF(AND(ISNUMBER(N33)),N33,"n.a.")</x:f>
        <x:v>1296518.5436617942</x:v>
      </x:c>
      <x:c r="P29" s="60" t="n">
        <x:f>IF(AND(ISNUMBER(O33)),O33,"n.a.")</x:f>
        <x:v>1294763.6593424429</x:v>
      </x:c>
      <x:c r="Q29" s="60" t="n">
        <x:f>IF(AND(ISNUMBER(P33)),P33,"n.a.")</x:f>
        <x:v>1292999.269399695</x:v>
      </x:c>
      <x:c r="R29" s="60" t="n">
        <x:f>IF(AND(ISNUMBER(Q33)),Q33,"n.a.")</x:f>
        <x:v>1291225.3223447574</x:v>
      </x:c>
    </x:row>
    <x:row r="30" ht="21" customHeight="1">
      <x:c r="A30" s="2"/>
      <x:c r="B30" s="2"/>
      <x:c r="C30" s="2" t="str">
        <x:v>Monthly interest</x:v>
      </x:c>
      <x:c r="D30" s="2"/>
      <x:c r="E30" s="2"/>
      <x:c r="F30" s="2"/>
      <x:c r="G30" s="61" t="n">
        <x:f>IF(AND(ISNUMBER(G29),ISNUMBER('Assumptions'!$D$31)),G29*'Assumptions'!$D$31/12,"n.a.")</x:f>
        <x:v>7041.666666666667</x:v>
      </x:c>
      <x:c r="H30" s="61" t="n">
        <x:f>IF(AND(ISNUMBER(H29),ISNUMBER('Assumptions'!$D$31)),H29*'Assumptions'!$D$31/12,"n.a.")</x:f>
        <x:v>7041.666666666667</x:v>
      </x:c>
      <x:c r="I30" s="61" t="n">
        <x:f>IF(AND(ISNUMBER(I29),ISNUMBER('Assumptions'!$D$31)),I29*'Assumptions'!$D$31/12,"n.a.")</x:f>
        <x:v>7041.666666666667</x:v>
      </x:c>
      <x:c r="J30" s="61" t="n">
        <x:f>IF(AND(ISNUMBER(J29),ISNUMBER('Assumptions'!$D$31)),J29*'Assumptions'!$D$31/12,"n.a.")</x:f>
        <x:v>7041.666666666667</x:v>
      </x:c>
      <x:c r="K30" s="61" t="n">
        <x:f>IF(AND(ISNUMBER(K29),ISNUMBER('Assumptions'!$D$31)),K29*'Assumptions'!$D$31/12,"n.a.")</x:f>
        <x:v>7041.666666666667</x:v>
      </x:c>
      <x:c r="L30" s="61" t="n">
        <x:f>IF(AND(ISNUMBER(L29),ISNUMBER('Assumptions'!$D$31)),L29*'Assumptions'!$D$31/12,"n.a.")</x:f>
        <x:v>7041.666666666667</x:v>
      </x:c>
      <x:c r="M30" s="61" t="n">
        <x:f>IF(AND(ISNUMBER(M29),ISNUMBER('Assumptions'!$D$31)),M29*'Assumptions'!$D$31/12,"n.a.")</x:f>
        <x:v>7041.666666666667</x:v>
      </x:c>
      <x:c r="N30" s="61" t="n">
        <x:f>IF(AND(ISNUMBER(N29),ISNUMBER('Assumptions'!$D$31)),N29*'Assumptions'!$D$31/12,"n.a.")</x:f>
        <x:v>7032.263190166214</x:v>
      </x:c>
      <x:c r="O30" s="61" t="n">
        <x:f>IF(AND(ISNUMBER(O29),ISNUMBER('Assumptions'!$D$31)),O29*'Assumptions'!$D$31/12,"n.a.")</x:f>
        <x:v>7022.8087781680515</x:v>
      </x:c>
      <x:c r="P30" s="61" t="n">
        <x:f>IF(AND(ISNUMBER(P29),ISNUMBER('Assumptions'!$D$31)),P29*'Assumptions'!$D$31/12,"n.a.")</x:f>
        <x:v>7013.3031547715655</x:v>
      </x:c>
      <x:c r="Q30" s="61" t="n">
        <x:f>IF(AND(ISNUMBER(Q29),ISNUMBER('Assumptions'!$D$31)),Q29*'Assumptions'!$D$31/12,"n.a.")</x:f>
        <x:v>7003.746042581683</x:v>
      </x:c>
      <x:c r="R30" s="61" t="n">
        <x:f>IF(AND(ISNUMBER(R29),ISNUMBER('Assumptions'!$D$31)),R29*'Assumptions'!$D$31/12,"n.a.")</x:f>
        <x:v>6994.137162700769</x:v>
      </x:c>
    </x:row>
    <x:row r="31" ht="21" customHeight="1">
      <x:c r="A31" s="2"/>
      <x:c r="B31" s="2"/>
      <x:c r="C31" s="2" t="str">
        <x:v>Scheduled payment</x:v>
      </x:c>
      <x:c r="D31" s="2"/>
      <x:c r="E31" s="2"/>
      <x:c r="F31" s="2"/>
      <x:c r="G31" s="61" t="n">
        <x:f>IF(AND(ISNUMBER('Assumptions'!$D$37),ISNUMBER(G30),ISNUMBER(G29),ISNUMBER(D16)),IF(1&lt;='Assumptions'!$D$37,G30,MIN(G29+G30,D16)),"n.a.")</x:f>
        <x:v>7041.666666666667</x:v>
      </x:c>
      <x:c r="H31" s="61" t="n">
        <x:f>IF(AND(ISNUMBER('Assumptions'!$D$37),ISNUMBER(H30),ISNUMBER(H29),ISNUMBER(D16)),IF(2&lt;='Assumptions'!$D$37,H30,MIN(H29+H30,D16)),"n.a.")</x:f>
        <x:v>7041.666666666667</x:v>
      </x:c>
      <x:c r="I31" s="61" t="n">
        <x:f>IF(AND(ISNUMBER('Assumptions'!$D$37),ISNUMBER(I30),ISNUMBER(I29),ISNUMBER(D16)),IF(3&lt;='Assumptions'!$D$37,I30,MIN(I29+I30,D16)),"n.a.")</x:f>
        <x:v>7041.666666666667</x:v>
      </x:c>
      <x:c r="J31" s="61" t="n">
        <x:f>IF(AND(ISNUMBER('Assumptions'!$D$37),ISNUMBER(J30),ISNUMBER(J29),ISNUMBER(D16)),IF(4&lt;='Assumptions'!$D$37,J30,MIN(J29+J30,D16)),"n.a.")</x:f>
        <x:v>7041.666666666667</x:v>
      </x:c>
      <x:c r="K31" s="61" t="n">
        <x:f>IF(AND(ISNUMBER('Assumptions'!$D$37),ISNUMBER(K30),ISNUMBER(K29),ISNUMBER(D16)),IF(5&lt;='Assumptions'!$D$37,K30,MIN(K29+K30,D16)),"n.a.")</x:f>
        <x:v>7041.666666666667</x:v>
      </x:c>
      <x:c r="L31" s="61" t="n">
        <x:f>IF(AND(ISNUMBER('Assumptions'!$D$37),ISNUMBER(L30),ISNUMBER(L29),ISNUMBER(D16)),IF(6&lt;='Assumptions'!$D$37,L30,MIN(L29+L30,D16)),"n.a.")</x:f>
        <x:v>7041.666666666667</x:v>
      </x:c>
      <x:c r="M31" s="61" t="n">
        <x:f>IF(AND(ISNUMBER('Assumptions'!$D$37),ISNUMBER(M30),ISNUMBER(M29),ISNUMBER(D16)),IF(7&lt;='Assumptions'!$D$37,M30,MIN(M29+M30,D16)),"n.a.")</x:f>
        <x:v>8777.69309751934</x:v>
      </x:c>
      <x:c r="N31" s="61" t="n">
        <x:f>IF(AND(ISNUMBER('Assumptions'!$D$37),ISNUMBER(N30),ISNUMBER(N29),ISNUMBER(D16)),IF(8&lt;='Assumptions'!$D$37,N30,MIN(N29+N30,D16)),"n.a.")</x:f>
        <x:v>8777.69309751934</x:v>
      </x:c>
      <x:c r="O31" s="61" t="n">
        <x:f>IF(AND(ISNUMBER('Assumptions'!$D$37),ISNUMBER(O30),ISNUMBER(O29),ISNUMBER(D16)),IF(9&lt;='Assumptions'!$D$37,O30,MIN(O29+O30,D16)),"n.a.")</x:f>
        <x:v>8777.69309751934</x:v>
      </x:c>
      <x:c r="P31" s="61" t="n">
        <x:f>IF(AND(ISNUMBER('Assumptions'!$D$37),ISNUMBER(P30),ISNUMBER(P29),ISNUMBER(D16)),IF(10&lt;='Assumptions'!$D$37,P30,MIN(P29+P30,D16)),"n.a.")</x:f>
        <x:v>8777.69309751934</x:v>
      </x:c>
      <x:c r="Q31" s="61" t="n">
        <x:f>IF(AND(ISNUMBER('Assumptions'!$D$37),ISNUMBER(Q30),ISNUMBER(Q29),ISNUMBER(D16)),IF(11&lt;='Assumptions'!$D$37,Q30,MIN(Q29+Q30,D16)),"n.a.")</x:f>
        <x:v>8777.69309751934</x:v>
      </x:c>
      <x:c r="R31" s="61" t="n">
        <x:f>IF(AND(ISNUMBER('Assumptions'!$D$37),ISNUMBER(R30),ISNUMBER(R29),ISNUMBER(D16)),IF(12&lt;='Assumptions'!$D$37,R30,MIN(R29+R30,D16)),"n.a.")</x:f>
        <x:v>8777.69309751934</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1736.026430852674</x:v>
      </x:c>
      <x:c r="N32" s="60" t="n">
        <x:f>IF(AND(ISNUMBER(N31),ISNUMBER(N30)),N31-N30,"n.a.")</x:f>
        <x:v>1745.4299073531265</x:v>
      </x:c>
      <x:c r="O32" s="60" t="n">
        <x:f>IF(AND(ISNUMBER(O31),ISNUMBER(O30)),O31-O30,"n.a.")</x:f>
        <x:v>1754.8843193512894</x:v>
      </x:c>
      <x:c r="P32" s="60" t="n">
        <x:f>IF(AND(ISNUMBER(P31),ISNUMBER(P30)),P31-P30,"n.a.")</x:f>
        <x:v>1764.3899427477754</x:v>
      </x:c>
      <x:c r="Q32" s="60" t="n">
        <x:f>IF(AND(ISNUMBER(Q31),ISNUMBER(Q30)),Q31-Q30,"n.a.")</x:f>
        <x:v>1773.9470549376583</x:v>
      </x:c>
      <x:c r="R32" s="60" t="n">
        <x:f>IF(AND(ISNUMBER(R31),ISNUMBER(R30)),R31-R30,"n.a.")</x:f>
        <x:v>1783.5559348185716</x:v>
      </x:c>
    </x:row>
    <x:row r="33" ht="21" customHeight="1">
      <x:c r="A33" s="2"/>
      <x:c r="B33" s="2"/>
      <x:c r="C33" s="2" t="str">
        <x:v>Ending loan balance</x:v>
      </x:c>
      <x:c r="D33" s="2"/>
      <x:c r="E33" s="2"/>
      <x:c r="F33" s="2"/>
      <x:c r="G33" s="60" t="n">
        <x:f>IF(AND(ISNUMBER(G29),ISNUMBER(G32),ISNUMBER(G38)),G29-G32-G38,"n.a.")</x:f>
        <x:v>1300000</x:v>
      </x:c>
      <x:c r="H33" s="60" t="n">
        <x:f>IF(AND(ISNUMBER(H29),ISNUMBER(H32),ISNUMBER(H38)),H29-H32-H38,"n.a.")</x:f>
        <x:v>1300000</x:v>
      </x:c>
      <x:c r="I33" s="60" t="n">
        <x:f>IF(AND(ISNUMBER(I29),ISNUMBER(I32),ISNUMBER(I38)),I29-I32-I38,"n.a.")</x:f>
        <x:v>1300000</x:v>
      </x:c>
      <x:c r="J33" s="60" t="n">
        <x:f>IF(AND(ISNUMBER(J29),ISNUMBER(J32),ISNUMBER(J38)),J29-J32-J38,"n.a.")</x:f>
        <x:v>1300000</x:v>
      </x:c>
      <x:c r="K33" s="60" t="n">
        <x:f>IF(AND(ISNUMBER(K29),ISNUMBER(K32),ISNUMBER(K38)),K29-K32-K38,"n.a.")</x:f>
        <x:v>1300000</x:v>
      </x:c>
      <x:c r="L33" s="60" t="n">
        <x:f>IF(AND(ISNUMBER(L29),ISNUMBER(L32),ISNUMBER(L38)),L29-L32-L38,"n.a.")</x:f>
        <x:v>1300000</x:v>
      </x:c>
      <x:c r="M33" s="60" t="n">
        <x:f>IF(AND(ISNUMBER(M29),ISNUMBER(M32),ISNUMBER(M38)),M29-M32-M38,"n.a.")</x:f>
        <x:v>1298263.9735691473</x:v>
      </x:c>
      <x:c r="N33" s="60" t="n">
        <x:f>IF(AND(ISNUMBER(N29),ISNUMBER(N32),ISNUMBER(N38)),N29-N32-N38,"n.a.")</x:f>
        <x:v>1296518.5436617942</x:v>
      </x:c>
      <x:c r="O33" s="60" t="n">
        <x:f>IF(AND(ISNUMBER(O29),ISNUMBER(O32),ISNUMBER(O38)),O29-O32-O38,"n.a.")</x:f>
        <x:v>1294763.6593424429</x:v>
      </x:c>
      <x:c r="P33" s="60" t="n">
        <x:f>IF(AND(ISNUMBER(P29),ISNUMBER(P32),ISNUMBER(P38)),P29-P32-P38,"n.a.")</x:f>
        <x:v>1292999.269399695</x:v>
      </x:c>
      <x:c r="Q33" s="60" t="n">
        <x:f>IF(AND(ISNUMBER(Q29),ISNUMBER(Q32),ISNUMBER(Q38)),Q29-Q32-Q38,"n.a.")</x:f>
        <x:v>1291225.3223447574</x:v>
      </x:c>
      <x:c r="R33" s="60" t="n">
        <x:f>IF(AND(ISNUMBER(R29),ISNUMBER(R32),ISNUMBER(R38)),R29-R32-R38,"n.a.")</x:f>
        <x:v>1289441.766409939</x:v>
      </x:c>
    </x:row>
    <x:row r="34" ht="21" customHeight="1">
      <x:c r="A34" s="2"/>
      <x:c r="B34" s="2"/>
      <x:c r="C34" s="2" t="str">
        <x:v>Operating cash NCF</x:v>
      </x:c>
      <x:c r="D34" s="2"/>
      <x:c r="E34" s="2"/>
      <x:c r="F34" s="2"/>
      <x:c r="G34" s="61" t="n">
        <x:f>IF(AND(ISNUMBER('Operations'!G30)),'Operations'!G30,"n.a.")</x:f>
        <x:v>17270</x:v>
      </x:c>
      <x:c r="H34" s="61" t="n">
        <x:f>IF(AND(ISNUMBER('Operations'!H30)),'Operations'!H30,"n.a.")</x:f>
        <x:v>17270</x:v>
      </x:c>
      <x:c r="I34" s="61" t="n">
        <x:f>IF(AND(ISNUMBER('Operations'!I30)),'Operations'!I30,"n.a.")</x:f>
        <x:v>17270</x:v>
      </x:c>
      <x:c r="J34" s="61" t="n">
        <x:f>IF(AND(ISNUMBER('Operations'!J30)),'Operations'!J30,"n.a.")</x:f>
        <x:v>17270</x:v>
      </x:c>
      <x:c r="K34" s="61" t="n">
        <x:f>IF(AND(ISNUMBER('Operations'!K30)),'Operations'!K30,"n.a.")</x:f>
        <x:v>17270</x:v>
      </x:c>
      <x:c r="L34" s="61" t="n">
        <x:f>IF(AND(ISNUMBER('Operations'!L30)),'Operations'!L30,"n.a.")</x:f>
        <x:v>17270</x:v>
      </x:c>
      <x:c r="M34" s="61" t="n">
        <x:f>IF(AND(ISNUMBER('Operations'!M30)),'Operations'!M30,"n.a.")</x:f>
        <x:v>17270</x:v>
      </x:c>
      <x:c r="N34" s="61" t="n">
        <x:f>IF(AND(ISNUMBER('Operations'!N30)),'Operations'!N30,"n.a.")</x:f>
        <x:v>17270</x:v>
      </x:c>
      <x:c r="O34" s="61" t="n">
        <x:f>IF(AND(ISNUMBER('Operations'!O30)),'Operations'!O30,"n.a.")</x:f>
        <x:v>17270</x:v>
      </x:c>
      <x:c r="P34" s="61" t="n">
        <x:f>IF(AND(ISNUMBER('Operations'!P30)),'Operations'!P30,"n.a.")</x:f>
        <x:v>17270</x:v>
      </x:c>
      <x:c r="Q34" s="61" t="n">
        <x:f>IF(AND(ISNUMBER('Operations'!Q30)),'Operations'!Q30,"n.a.")</x:f>
        <x:v>17270</x:v>
      </x:c>
      <x:c r="R34" s="61" t="n">
        <x:f>IF(AND(ISNUMBER('Operations'!R30)),'Operations'!R30,"n.a.")</x:f>
        <x:v>17270</x:v>
      </x:c>
    </x:row>
    <x:row r="35" ht="21" customHeight="1">
      <x:c r="A35" s="2"/>
      <x:c r="B35" s="2"/>
      <x:c r="C35" s="2" t="str">
        <x:v>Capital-work cash</x:v>
      </x:c>
      <x:c r="D35" s="2"/>
      <x:c r="E35" s="2"/>
      <x:c r="F35" s="2"/>
      <x:c r="G35" s="61" t="n">
        <x:f>IF(AND(ISNUMBER('Operations'!G25)),'Operations'!G25,"n.a.")</x:f>
        <x:v>0</x:v>
      </x:c>
      <x:c r="H35" s="61" t="n">
        <x:f>IF(AND(ISNUMBER('Operations'!H25)),'Operations'!H25,"n.a.")</x:f>
        <x:v>0</x:v>
      </x:c>
      <x:c r="I35" s="61" t="n">
        <x:f>IF(AND(ISNUMBER('Operations'!I25)),'Operations'!I25,"n.a.")</x:f>
        <x:v>0</x:v>
      </x:c>
      <x:c r="J35" s="61" t="n">
        <x:f>IF(AND(ISNUMBER('Operations'!J25)),'Operations'!J25,"n.a.")</x:f>
        <x:v>0</x:v>
      </x:c>
      <x:c r="K35" s="61" t="n">
        <x:f>IF(AND(ISNUMBER('Operations'!K25)),'Operations'!K25,"n.a.")</x:f>
        <x:v>0</x:v>
      </x:c>
      <x:c r="L35" s="61" t="n">
        <x:f>IF(AND(ISNUMBER('Operations'!L25)),'Operations'!L25,"n.a.")</x:f>
        <x:v>0</x:v>
      </x:c>
      <x:c r="M35" s="61" t="n">
        <x:f>IF(AND(ISNUMBER('Operations'!M25)),'Operations'!M25,"n.a.")</x:f>
        <x:v>0</x:v>
      </x:c>
      <x:c r="N35" s="61" t="n">
        <x:f>IF(AND(ISNUMBER('Operations'!N25)),'Operations'!N25,"n.a.")</x:f>
        <x:v>90000</x:v>
      </x:c>
      <x:c r="O35" s="61" t="n">
        <x:f>IF(AND(ISNUMBER('Operations'!O25)),'Operations'!O25,"n.a.")</x:f>
        <x:v>0</x:v>
      </x:c>
      <x:c r="P35" s="61" t="n">
        <x:f>IF(AND(ISNUMBER('Operations'!P25)),'Operations'!P25,"n.a.")</x:f>
        <x:v>0</x:v>
      </x:c>
      <x:c r="Q35" s="61" t="n">
        <x:f>IF(AND(ISNUMBER('Operations'!Q25)),'Operations'!Q25,"n.a.")</x:f>
        <x:v>0</x:v>
      </x:c>
      <x:c r="R35" s="61" t="n">
        <x:f>IF(AND(ISNUMBER('Operations'!R25)),'Operations'!R25,"n.a.")</x:f>
        <x:v>0</x:v>
      </x:c>
    </x:row>
    <x:row r="36" ht="21" customHeight="1">
      <x:c r="A36" s="2"/>
      <x:c r="B36" s="2"/>
      <x:c r="C36" s="2" t="str">
        <x:v>Cash after debt and capital</x:v>
      </x:c>
      <x:c r="D36" s="2"/>
      <x:c r="E36" s="2"/>
      <x:c r="F36" s="2"/>
      <x:c r="G36" s="60" t="n">
        <x:f>IF(AND(ISNUMBER(G34),ISNUMBER(G31),ISNUMBER(G35),ISNUMBER(G38)),G34-G31-G35-G38,"n.a.")</x:f>
        <x:v>10228.333333333332</x:v>
      </x:c>
      <x:c r="H36" s="60" t="n">
        <x:f>IF(AND(ISNUMBER(H34),ISNUMBER(H31),ISNUMBER(H35),ISNUMBER(H38)),H34-H31-H35-H38,"n.a.")</x:f>
        <x:v>10228.333333333332</x:v>
      </x:c>
      <x:c r="I36" s="60" t="n">
        <x:f>IF(AND(ISNUMBER(I34),ISNUMBER(I31),ISNUMBER(I35),ISNUMBER(I38)),I34-I31-I35-I38,"n.a.")</x:f>
        <x:v>10228.333333333332</x:v>
      </x:c>
      <x:c r="J36" s="60" t="n">
        <x:f>IF(AND(ISNUMBER(J34),ISNUMBER(J31),ISNUMBER(J35),ISNUMBER(J38)),J34-J31-J35-J38,"n.a.")</x:f>
        <x:v>10228.333333333332</x:v>
      </x:c>
      <x:c r="K36" s="60" t="n">
        <x:f>IF(AND(ISNUMBER(K34),ISNUMBER(K31),ISNUMBER(K35),ISNUMBER(K38)),K34-K31-K35-K38,"n.a.")</x:f>
        <x:v>10228.333333333332</x:v>
      </x:c>
      <x:c r="L36" s="60" t="n">
        <x:f>IF(AND(ISNUMBER(L34),ISNUMBER(L31),ISNUMBER(L35),ISNUMBER(L38)),L34-L31-L35-L38,"n.a.")</x:f>
        <x:v>10228.333333333332</x:v>
      </x:c>
      <x:c r="M36" s="60" t="n">
        <x:f>IF(AND(ISNUMBER(M34),ISNUMBER(M31),ISNUMBER(M35),ISNUMBER(M38)),M34-M31-M35-M38,"n.a.")</x:f>
        <x:v>8492.30690248066</x:v>
      </x:c>
      <x:c r="N36" s="60" t="n">
        <x:f>IF(AND(ISNUMBER(N34),ISNUMBER(N31),ISNUMBER(N35),ISNUMBER(N38)),N34-N31-N35-N38,"n.a.")</x:f>
        <x:v>-81507.69309751934</x:v>
      </x:c>
      <x:c r="O36" s="60" t="n">
        <x:f>IF(AND(ISNUMBER(O34),ISNUMBER(O31),ISNUMBER(O35),ISNUMBER(O38)),O34-O31-O35-O38,"n.a.")</x:f>
        <x:v>8492.30690248066</x:v>
      </x:c>
      <x:c r="P36" s="60" t="n">
        <x:f>IF(AND(ISNUMBER(P34),ISNUMBER(P31),ISNUMBER(P35),ISNUMBER(P38)),P34-P31-P35-P38,"n.a.")</x:f>
        <x:v>8492.30690248066</x:v>
      </x:c>
      <x:c r="Q36" s="60" t="n">
        <x:f>IF(AND(ISNUMBER(Q34),ISNUMBER(Q31),ISNUMBER(Q35),ISNUMBER(Q38)),Q34-Q31-Q35-Q38,"n.a.")</x:f>
        <x:v>8492.30690248066</x:v>
      </x:c>
      <x:c r="R36" s="60" t="n">
        <x:f>IF(AND(ISNUMBER(R34),ISNUMBER(R31),ISNUMBER(R35),ISNUMBER(R38)),R34-R31-R35-R38,"n.a.")</x:f>
        <x:v>8492.30690248066</x:v>
      </x:c>
    </x:row>
    <x:row r="37" ht="21" customHeight="1">
      <x:c r="A37" s="2"/>
      <x:c r="B37" s="2"/>
      <x:c r="C37" s="2" t="str">
        <x:v>Ending operating cash</x:v>
      </x:c>
      <x:c r="D37" s="2"/>
      <x:c r="E37" s="2"/>
      <x:c r="F37" s="2"/>
      <x:c r="G37" s="61" t="n">
        <x:f>IF(AND(ISNUMBER('Assumptions'!$D$22),ISNUMBER(G36)),'Assumptions'!$D$22+G36,"n.a.")</x:f>
        <x:v>110228.33333333333</x:v>
      </x:c>
      <x:c r="H37" s="60" t="n">
        <x:f>IF(AND(ISNUMBER(G37),ISNUMBER(H36)),G37+H36,"n.a.")</x:f>
        <x:v>120456.66666666666</x:v>
      </x:c>
      <x:c r="I37" s="60" t="n">
        <x:f>IF(AND(ISNUMBER(H37),ISNUMBER(I36)),H37+I36,"n.a.")</x:f>
        <x:v>130684.99999999999</x:v>
      </x:c>
      <x:c r="J37" s="60" t="n">
        <x:f>IF(AND(ISNUMBER(I37),ISNUMBER(J36)),I37+J36,"n.a.")</x:f>
        <x:v>140913.3333333333</x:v>
      </x:c>
      <x:c r="K37" s="60" t="n">
        <x:f>IF(AND(ISNUMBER(J37),ISNUMBER(K36)),J37+K36,"n.a.")</x:f>
        <x:v>151141.66666666666</x:v>
      </x:c>
      <x:c r="L37" s="60" t="n">
        <x:f>IF(AND(ISNUMBER(K37),ISNUMBER(L36)),K37+L36,"n.a.")</x:f>
        <x:v>161370</x:v>
      </x:c>
      <x:c r="M37" s="60" t="n">
        <x:f>IF(AND(ISNUMBER(L37),ISNUMBER(M36)),L37+M36,"n.a.")</x:f>
        <x:v>169862.30690248066</x:v>
      </x:c>
      <x:c r="N37" s="60" t="n">
        <x:f>IF(AND(ISNUMBER(M37),ISNUMBER(N36)),M37+N36,"n.a.")</x:f>
        <x:v>88354.61380496132</x:v>
      </x:c>
      <x:c r="O37" s="60" t="n">
        <x:f>IF(AND(ISNUMBER(N37),ISNUMBER(O36)),N37+O36,"n.a.")</x:f>
        <x:v>96846.92070744198</x:v>
      </x:c>
      <x:c r="P37" s="60" t="n">
        <x:f>IF(AND(ISNUMBER(O37),ISNUMBER(P36)),O37+P36,"n.a.")</x:f>
        <x:v>105339.22760992264</x:v>
      </x:c>
      <x:c r="Q37" s="60" t="n">
        <x:f>IF(AND(ISNUMBER(P37),ISNUMBER(Q36)),P37+Q36,"n.a.")</x:f>
        <x:v>113831.5345124033</x:v>
      </x:c>
      <x:c r="R37" s="60" t="n">
        <x:f>IF(AND(ISNUMBER(Q37),ISNUMBER(R36)),Q37+R36,"n.a.")</x:f>
        <x:v>122323.84141488397</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94916.15858511603</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2.1834006252387215</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1289441.766409939</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205000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122323.84141488397</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29-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x:f>
        <x:v>0</x:v>
      </x:c>
      <x:c r="E10" s="2"/>
      <x:c r="F10" s="2"/>
      <x:c r="G10" s="2"/>
      <x:c r="H10" s="2"/>
      <x:c r="I10" s="2"/>
      <x:c r="J10" s="2"/>
    </x:row>
    <x:row r="11" ht="21" customHeight="1">
      <x:c r="A11" s="2"/>
      <x:c r="B11" s="2"/>
      <x:c r="C11" s="2" t="str">
        <x:v>Source rows needing correction</x:v>
      </x:c>
      <x:c r="D11" s="71" t="n">
        <x:f>COUNTIFS('Sales Channels'!N10:N21,"Missing / invalid input")</x:f>
        <x:v>0</x:v>
      </x:c>
      <x:c r="E11" s="2"/>
      <x:c r="F11" s="2"/>
      <x:c r="G11" s="2"/>
      <x:c r="H11" s="2"/>
      <x:c r="I11" s="2"/>
      <x:c r="J11" s="2"/>
    </x:row>
    <x:row r="12" ht="21" customHeight="1">
      <x:c r="A12" s="2"/>
      <x:c r="B12" s="2"/>
      <x:c r="C12" s="2" t="str">
        <x:v>Residual cash-cost reconciliation</x:v>
      </x:c>
      <x:c r="D12" s="71" t="n">
        <x:f>IF(AND(ISNUMBER('Operations'!E28),ISNUMBER('Operations'!E19),ISNUMBER('Operations'!E27)),'Operations'!E28-'Operations'!E19+'Operations'!E27,"n.a.")</x:f>
        <x:v>0</x:v>
      </x:c>
      <x:c r="E12" s="2"/>
      <x:c r="F12" s="2"/>
      <x:c r="G12" s="2"/>
      <x:c r="H12" s="2"/>
      <x:c r="I12" s="2"/>
      <x:c r="J12" s="2"/>
    </x:row>
    <x:row r="13" ht="21" customHeight="1">
      <x:c r="A13" s="2"/>
      <x:c r="B13" s="2"/>
      <x:c r="C13" s="2" t="str">
        <x:v>NCF reserve reconciliation</x:v>
      </x:c>
      <x:c r="D13" s="71" t="n">
        <x:f>IF(AND(ISNUMBER('Operations'!E30),ISNUMBER('Operations'!E28),ISNUMBER('Operations'!E29)),'Operations'!E30-'Operations'!E28+'Operations'!E29,"n.a.")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Channel sales exclude sales taxes and employee tips. All sales collect in the current</x:v>
      </x:c>
      <x:c r="D23" s="2"/>
      <x:c r="E23" s="2"/>
      <x:c r="F23" s="2"/>
      <x:c r="G23" s="2"/>
      <x:c r="H23" s="2"/>
      <x:c r="I23" s="2"/>
      <x:c r="J23" s="2"/>
    </x:row>
    <x:row r="24" ht="21" customHeight="1">
      <x:c r="A24" s="2"/>
      <x:c r="B24" s="2"/>
      <x:c r="C24" s="2" t="str">
        <x:v>month; platform fees are deducted once as costs, not again from the delivery input.</x:v>
      </x:c>
      <x:c r="D24" s="2"/>
      <x:c r="E24" s="2"/>
      <x:c r="F24" s="2"/>
      <x:c r="G24" s="2"/>
      <x:c r="H24" s="2"/>
      <x:c r="I24" s="2"/>
      <x:c r="J24" s="2"/>
    </x:row>
    <x:row r="25" ht="21" customHeight="1">
      <x:c r="A25" s="2"/>
      <x:c r="B25" s="2"/>
      <x:c r="C25" s="2" t="str">
        <x:v>Refunds can create negative net receipts.</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Food fraction is consumption cost. The separate signed inventory/payables cash use</x:v>
      </x:c>
      <x:c r="D27" s="2"/>
      <x:c r="E27" s="2"/>
      <x:c r="F27" s="2"/>
      <x:c r="G27" s="2"/>
      <x:c r="H27" s="2"/>
      <x:c r="I27" s="2"/>
      <x:c r="J27" s="2"/>
    </x:row>
    <x:row r="28" ht="21" customHeight="1">
      <x:c r="A28" s="2"/>
      <x:c r="B28" s="2"/>
      <x:c r="C28" s="2" t="str">
        <x:v>bridges purchases to consumption; a negative value releases cash. Royalties use gross</x:v>
      </x:c>
      <x:c r="D28" s="2"/>
      <x:c r="E28" s="2"/>
      <x:c r="F28" s="2"/>
      <x:c r="G28" s="2"/>
      <x:c r="H28" s="2"/>
      <x:c r="I28" s="2"/>
      <x:c r="J28" s="2"/>
    </x:row>
    <x:row r="29" ht="21" customHeight="1">
      <x:c r="A29" s="2"/>
      <x:c r="B29" s="2"/>
      <x:c r="C29" s="2" t="str">
        <x:v>sales only as the entered illustrative contract convention.</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Combined cash is an operating-business and property measure, not property NOI. Other</x:v>
      </x:c>
      <x:c r="D31" s="2"/>
      <x:c r="E31" s="2"/>
      <x:c r="F31" s="2"/>
      <x:c r="G31" s="2"/>
      <x:c r="H31" s="2"/>
      <x:c r="I31" s="2"/>
      <x:c r="J31" s="2"/>
    </x:row>
    <x:row r="32" ht="21" customHeight="1">
      <x:c r="A32" s="2"/>
      <x:c r="B32" s="2"/>
      <x:c r="C32" s="2" t="str">
        <x:v>business debt, taxes/distributions and maintenance capital are deducted once before the</x:v>
      </x:c>
      <x:c r="D32" s="2"/>
      <x:c r="E32" s="2"/>
      <x:c r="F32" s="2"/>
      <x:c r="G32" s="2"/>
      <x:c r="H32" s="2"/>
      <x:c r="I32" s="2"/>
      <x:c r="J32" s="2"/>
    </x:row>
    <x:row r="33" ht="21" customHeight="1">
      <x:c r="A33" s="2"/>
      <x:c r="B33" s="2"/>
      <x:c r="C33" s="2" t="str">
        <x:v>residual property-debt proxy.</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Value and acquisition price refer only to the real estate. LTV never applies to</x:v>
      </x:c>
      <x:c r="D35" s="2"/>
      <x:c r="E35" s="2"/>
      <x:c r="F35" s="2"/>
      <x:c r="G35" s="2"/>
      <x:c r="H35" s="2"/>
      <x:c r="I35" s="2"/>
      <x:c r="J35" s="2"/>
    </x:row>
    <x:row r="36" ht="21" customHeight="1">
      <x:c r="A36" s="2"/>
      <x:c r="B36" s="2"/>
      <x:c r="C36" s="2" t="str">
        <x:v>enterprise value, goodwill, inventory or equipment. The modeled loan is property debt</x:v>
      </x:c>
      <x:c r="D36" s="2"/>
      <x:c r="E36" s="2"/>
      <x:c r="F36" s="2"/>
      <x:c r="G36" s="2"/>
      <x:c r="H36" s="2"/>
      <x:c r="I36" s="2"/>
      <x:c r="J36" s="2"/>
    </x:row>
    <x:row r="37" ht="21" customHeight="1">
      <x:c r="A37" s="2"/>
      <x:c r="B37" s="2"/>
      <x:c r="C37" s="2" t="str">
        <x:v>supported by residual combined cash, not a business-acquisition valuation or program</x:v>
      </x:c>
      <x:c r="D37" s="2"/>
      <x:c r="E37" s="2"/>
      <x:c r="F37" s="2"/>
      <x:c r="G37" s="2"/>
      <x:c r="H37" s="2"/>
      <x:c r="I37" s="2"/>
      <x:c r="J37" s="2"/>
    </x:row>
    <x:row r="38" ht="21" customHeight="1">
      <x:c r="A38" s="2"/>
      <x:c r="B38" s="2"/>
      <x:c r="C38" s="2" t="str">
        <x:v>eligibility test.</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Business purchases, equipment purchases at closing and goodwill are excluded from the</x:v>
      </x:c>
      <x:c r="D40" s="2"/>
      <x:c r="E40" s="2"/>
      <x:c r="F40" s="2"/>
      <x:c r="G40" s="2"/>
      <x:c r="H40" s="2"/>
      <x:c r="I40" s="2"/>
      <x:c r="J40" s="2"/>
    </x:row>
    <x:row r="41" ht="21" customHeight="1">
      <x:c r="A41" s="2"/>
      <x:c r="B41" s="2"/>
      <x:c r="C41" s="2" t="str">
        <x:v>example acquisition uses. Reconcile their separate funding and resulting debt</x:v>
      </x:c>
      <x:c r="D41" s="2"/>
      <x:c r="E41" s="2"/>
      <x:c r="F41" s="2"/>
      <x:c r="G41" s="2"/>
      <x:c r="H41" s="2"/>
      <x:c r="I41" s="2"/>
      <x:c r="J41" s="2"/>
    </x:row>
    <x:row r="42" ht="21" customHeight="1">
      <x:c r="A42" s="2"/>
      <x:c r="B42" s="2"/>
      <x:c r="C42" s="2" t="str">
        <x:v>obligations before relying on the property-only equity gap. Include additional</x:v>
      </x:c>
      <x:c r="D42" s="2"/>
      <x:c r="E42" s="2"/>
      <x:c r="F42" s="2"/>
      <x:c r="G42" s="2"/>
      <x:c r="H42" s="2"/>
      <x:c r="I42" s="2"/>
      <x:c r="J42" s="2"/>
    </x:row>
    <x:row r="43" ht="21" customHeight="1">
      <x:c r="A43" s="2"/>
      <x:c r="B43" s="2"/>
      <x:c r="C43" s="2" t="str">
        <x:v>post-closing equipment or expansion cash in the capital schedule once.</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Related-party rent is shown and eliminated. External property costs exclude mortgage</x:v>
      </x:c>
      <x:c r="D45" s="2"/>
      <x:c r="E45" s="2"/>
      <x:c r="F45" s="2"/>
      <x:c r="G45" s="2"/>
      <x:c r="H45" s="2"/>
      <x:c r="I45" s="2"/>
      <x:c r="J45" s="2"/>
    </x:row>
    <x:row r="46" ht="21" customHeight="1">
      <x:c r="A46" s="2"/>
      <x:c r="B46" s="2"/>
      <x:c r="C46" s="2" t="str">
        <x:v>debt and must not also appear in business operating inputs. No intercompany transfer</x:v>
      </x:c>
      <x:c r="D46" s="2"/>
      <x:c r="E46" s="2"/>
      <x:c r="F46" s="2"/>
      <x:c r="G46" s="2"/>
      <x:c r="H46" s="2"/>
      <x:c r="I46" s="2"/>
      <x:c r="J46" s="2"/>
    </x:row>
    <x:row r="47" ht="21" customHeight="1">
      <x:c r="A47" s="2"/>
      <x:c r="B47" s="2"/>
      <x:c r="C47" s="2" t="str">
        <x:v>permission is established.</x:v>
      </x:c>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t="str">
        <x:v>Maintenance capital is deducted before sizing. Additional expansion/property capital is</x:v>
      </x:c>
      <x:c r="D49" s="2"/>
      <x:c r="E49" s="2"/>
      <x:c r="F49" s="2"/>
      <x:c r="G49" s="2"/>
      <x:c r="H49" s="2"/>
      <x:c r="I49" s="2"/>
      <x:c r="J49" s="2"/>
    </x:row>
    <x:row r="50" ht="21" customHeight="1">
      <x:c r="A50" s="2"/>
      <x:c r="B50" s="2"/>
      <x:c r="C50" s="2" t="str">
        <x:v>deducted below residual cash. Do not enter the same cost in both places.</x:v>
      </x:c>
      <x:c r="D50" s="2"/>
      <x:c r="E50" s="2"/>
      <x:c r="F50" s="2"/>
      <x:c r="G50" s="2"/>
      <x:c r="H50" s="2"/>
      <x:c r="I50" s="2"/>
      <x:c r="J50" s="2"/>
    </x:row>
    <x:row r="51" ht="21" customHeight="1">
      <x:c r="A51" s="2"/>
      <x:c r="B51" s="2"/>
      <x:c r="C51" s="2"/>
      <x:c r="D51" s="2"/>
      <x:c r="E51" s="2"/>
      <x:c r="F51" s="2"/>
      <x:c r="G51" s="2"/>
      <x:c r="H51" s="2"/>
      <x:c r="I51" s="2"/>
      <x:c r="J51" s="2"/>
    </x:row>
    <x:row r="52" ht="21" customHeight="1">
      <x:c r="A52" s="2"/>
      <x:c r="B52" s="2"/>
      <x:c r="C52" s="2" t="str">
        <x:v>All amounts are fictional. Residual coverage, value and cash tests do not establish bank</x:v>
      </x:c>
      <x:c r="D52" s="2"/>
      <x:c r="E52" s="2"/>
      <x:c r="F52" s="2"/>
      <x:c r="G52" s="2"/>
      <x:c r="H52" s="2"/>
      <x:c r="I52" s="2"/>
      <x:c r="J52" s="2"/>
    </x:row>
    <x:row r="53" ht="21" customHeight="1">
      <x:c r="A53" s="2"/>
      <x:c r="B53" s="2"/>
      <x:c r="C53" s="2" t="str">
        <x:v>DSCR, program eligibility, business value or a loan commitment.</x:v>
      </x:c>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t="str">
        <x:v>Published by Jaken Finance Group. 833-264-7776 | info@jakenfinancegroup.com.</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Every numerical assumption is illustrative. No current market quote, legal conclusion or</x:v>
      </x:c>
      <x:c r="D57" s="2"/>
      <x:c r="E57" s="2"/>
      <x:c r="F57" s="2"/>
      <x:c r="G57" s="2"/>
      <x:c r="H57" s="2"/>
      <x:c r="I57" s="2"/>
      <x:c r="J57" s="2"/>
    </x:row>
    <x:row r="58" ht="21" customHeight="1">
      <x:c r="A58" s="2"/>
      <x:c r="B58" s="2"/>
      <x:c r="C58" s="2" t="str">
        <x:v>lender eligibility is represented.</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NCF is a modeled cash measure after cash reserve deposits. An actual lender may adjust</x:v>
      </x:c>
      <x:c r="D60" s="2"/>
      <x:c r="E60" s="2"/>
      <x:c r="F60" s="2"/>
      <x:c r="G60" s="2"/>
      <x:c r="H60" s="2"/>
      <x:c r="I60" s="2"/>
      <x:c r="J60" s="2"/>
    </x:row>
    <x:row r="61">
      <x:c r="C61" s="72" t="str">
        <x:v>income, expenses, reserves, tax and business cash differently.</x:v>
      </x:c>
    </x:row>
    <x:row r="62">
      <x:c r="C62" s="72"/>
    </x:row>
    <x:row r="63">
      <x:c r="C63" s="72" t="str">
        <x:v>No tax return, appraisal, legal compliance, guaranty capacity or refinancing approval is</x:v>
      </x:c>
    </x:row>
    <x:row r="64">
      <x:c r="C64" s="72" t="str">
        <x:v>established by the calculations.</x:v>
      </x:c>
    </x:row>
    <x:row r="65">
      <x:c r="C65" s="72"/>
    </x:row>
    <x:row r="66">
      <x:c r="C66" s="72" t="str">
        <x:v>Calculation methods and conventions are shown here. Check Review and replace</x:v>
      </x:c>
    </x:row>
    <x:row r="67">
      <x:c r="C67" s="72" t="str">
        <x:v>illustrative inputs before relying on results.</x:v>
      </x:c>
    </x:row>
    <x:row r="68">
      <x:c r="C68" s="72"/>
    </x:row>
    <x:row r="69">
      <x:c r="C69" s="72"/>
    </x:row>
    <x:row r="70">
      <x:c r="C70" s="72"/>
    </x:row>
  </x:sheetData>
  <x:conditionalFormatting sqref="D10:D16">
    <x:cfRule type="expression" dxfId="5" priority="1">
      <x:formula>ABS(D10)&gt;0.01</x:formula>
    </x:cfRule>
  </x:conditionalFormatting>
  <x:pageMargins left="0.7" right="0.7" top="0.75" bottom="0.75" header="0.3" footer="0.3"/>
</x:worksheet>
</file>