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9f85a06b3044c5d" /></Relationships>
</file>

<file path=xl/workbook.xml><?xml version="1.0" encoding="utf-8"?>
<x:workbook xmlns:x="http://schemas.openxmlformats.org/spreadsheetml/2006/main">
  <x:sheets>
    <x:sheet xmlns:r="http://schemas.openxmlformats.org/officeDocument/2006/relationships" name="Summary" sheetId="1" r:id="R2e6111ea82d54aa2"/>
    <x:sheet xmlns:r="http://schemas.openxmlformats.org/officeDocument/2006/relationships" name="Assumptions" sheetId="2" r:id="R40ef30cf58074c7a"/>
    <x:sheet xmlns:r="http://schemas.openxmlformats.org/officeDocument/2006/relationships" name="Lease Expiry and Owner Cash" sheetId="3" r:id="R151d28f0a3744cfe"/>
    <x:sheet xmlns:r="http://schemas.openxmlformats.org/officeDocument/2006/relationships" name="Operations" sheetId="4" r:id="R7e2944c18b1f4f20"/>
    <x:sheet xmlns:r="http://schemas.openxmlformats.org/officeDocument/2006/relationships" name="Debt and Funding" sheetId="5" r:id="Rd9634e53ba694afa"/>
    <x:sheet xmlns:r="http://schemas.openxmlformats.org/officeDocument/2006/relationships" name="Review" sheetId="6" r:id="R1eaa3f682c1e40ed"/>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5">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4" fontId="3" fillId="0" borderId="0" xfId="0" applyNumberFormat="1" applyFont="1" applyFill="1" applyBorder="1" applyAlignment="1">
      <x:alignment vertical="center"/>
    </x:xf>
    <x:xf numFmtId="204"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4"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207" fontId="4"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7" fontId="4"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0b2614e643c41f1" /><Relationship Type="http://schemas.openxmlformats.org/officeDocument/2006/relationships/theme" Target="/xl/theme/theme1.xml" Id="R42c94d58e9d645d4" /><Relationship Type="http://schemas.openxmlformats.org/officeDocument/2006/relationships/sharedStrings" Target="/xl/sharedStrings.xml" Id="R174a259338734092" /><Relationship Type="http://schemas.openxmlformats.org/officeDocument/2006/relationships/worksheet" Target="/xl/worksheets/sheet1.xml" Id="R2e6111ea82d54aa2" /><Relationship Type="http://schemas.openxmlformats.org/officeDocument/2006/relationships/worksheet" Target="/xl/worksheets/sheet2.xml" Id="R40ef30cf58074c7a" /><Relationship Type="http://schemas.openxmlformats.org/officeDocument/2006/relationships/worksheet" Target="/xl/worksheets/sheet3.xml" Id="R151d28f0a3744cfe" /><Relationship Type="http://schemas.openxmlformats.org/officeDocument/2006/relationships/worksheet" Target="/xl/worksheets/sheet4.xml" Id="R7e2944c18b1f4f20" /><Relationship Type="http://schemas.openxmlformats.org/officeDocument/2006/relationships/worksheet" Target="/xl/worksheets/sheet5.xml" Id="Rd9634e53ba694afa" /><Relationship Type="http://schemas.openxmlformats.org/officeDocument/2006/relationships/worksheet" Target="/xl/worksheets/sheet6.xml" Id="R1eaa3f682c1e40e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Single-tenant and net-lease retail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Operating revenue</x:v>
      </x:c>
      <x:c r="D10" s="47" t="n">
        <x:f>'Operations'!E13</x:f>
        <x:v>388980</x:v>
      </x:c>
      <x:c r="E10" s="2"/>
      <x:c r="F10" s="2"/>
      <x:c r="G10" s="71" t="n">
        <x:f>'Operations'!G9</x:f>
        <x:v>46388</x:v>
      </x:c>
      <x:c r="H10" s="72" t="n">
        <x:f>'Debt and Funding'!G36</x:f>
        <x:v>20000.0115855631</x:v>
      </x:c>
      <x:c r="I10" s="72" t="n">
        <x:f>'Debt and Funding'!G37</x:f>
        <x:v>270000.0115855631</x:v>
      </x:c>
      <x:c r="J10" s="72" t="n">
        <x:f>'Debt and Funding'!G33</x:f>
        <x:v>2955247.0918960427</x:v>
      </x:c>
      <x:c r="K10" s="2"/>
      <x:c r="L10" s="2"/>
    </x:row>
    <x:row r="11" ht="21" customHeight="1">
      <x:c r="A11" s="2"/>
      <x:c r="B11" s="2"/>
      <x:c r="C11" s="2" t="str">
        <x:v>Cash operating costs</x:v>
      </x:c>
      <x:c r="D11" s="47" t="n">
        <x:f>'Operations'!E18</x:f>
        <x:v>78000</x:v>
      </x:c>
      <x:c r="E11" s="2"/>
      <x:c r="F11" s="2"/>
      <x:c r="G11" s="71" t="n">
        <x:f>'Operations'!H9</x:f>
        <x:v>46419</x:v>
      </x:c>
      <x:c r="H11" s="72" t="n">
        <x:f>'Debt and Funding'!H36</x:f>
        <x:v>20000.0115855631</x:v>
      </x:c>
      <x:c r="I11" s="72" t="n">
        <x:f>'Debt and Funding'!H37</x:f>
        <x:v>290000.02317112614</x:v>
      </x:c>
      <x:c r="J11" s="72" t="n">
        <x:f>'Debt and Funding'!H33</x:f>
        <x:v>2955247.0918960427</x:v>
      </x:c>
      <x:c r="K11" s="2"/>
      <x:c r="L11" s="2"/>
    </x:row>
    <x:row r="12" ht="21" customHeight="1">
      <x:c r="A12" s="2"/>
      <x:c r="B12" s="2"/>
      <x:c r="C12" s="2" t="str">
        <x:v>NOI / operating cash</x:v>
      </x:c>
      <x:c r="D12" s="47" t="n">
        <x:f>'Operations'!E19</x:f>
        <x:v>310980</x:v>
      </x:c>
      <x:c r="E12" s="2"/>
      <x:c r="F12" s="2"/>
      <x:c r="G12" s="71" t="n">
        <x:f>'Operations'!I9</x:f>
        <x:v>46447</x:v>
      </x:c>
      <x:c r="H12" s="72" t="n">
        <x:f>'Debt and Funding'!I36</x:f>
        <x:v>-23999.9884144369</x:v>
      </x:c>
      <x:c r="I12" s="72" t="n">
        <x:f>'Debt and Funding'!I37</x:f>
        <x:v>266000.0347566892</x:v>
      </x:c>
      <x:c r="J12" s="72" t="n">
        <x:f>'Debt and Funding'!I33</x:f>
        <x:v>2955247.0918960427</x:v>
      </x:c>
      <x:c r="K12" s="2"/>
      <x:c r="L12" s="2"/>
    </x:row>
    <x:row r="13" ht="21" customHeight="1">
      <x:c r="A13" s="2"/>
      <x:c r="B13" s="2"/>
      <x:c r="C13" s="2" t="str">
        <x:v>Annual reserve deposits</x:v>
      </x:c>
      <x:c r="D13" s="47" t="n">
        <x:f>'Operations'!E20</x:f>
        <x:v>11669.399999999998</x:v>
      </x:c>
      <x:c r="E13" s="2"/>
      <x:c r="F13" s="2"/>
      <x:c r="G13" s="71" t="n">
        <x:f>'Operations'!J9</x:f>
        <x:v>46478</x:v>
      </x:c>
      <x:c r="H13" s="72" t="n">
        <x:f>'Debt and Funding'!J36</x:f>
        <x:v>20000.0115855631</x:v>
      </x:c>
      <x:c r="I13" s="72" t="n">
        <x:f>'Debt and Funding'!J37</x:f>
        <x:v>286000.0463422523</x:v>
      </x:c>
      <x:c r="J13" s="72" t="n">
        <x:f>'Debt and Funding'!J33</x:f>
        <x:v>2955247.0918960427</x:v>
      </x:c>
      <x:c r="K13" s="2"/>
      <x:c r="L13" s="2"/>
    </x:row>
    <x:row r="14" ht="21" customHeight="1">
      <x:c r="A14" s="2"/>
      <x:c r="B14" s="2"/>
      <x:c r="C14" s="2" t="str">
        <x:v>Cash NCF before debt and capital</x:v>
      </x:c>
      <x:c r="D14" s="47" t="n">
        <x:f>'Operations'!E21</x:f>
        <x:v>299310.6</x:v>
      </x:c>
      <x:c r="E14" s="2"/>
      <x:c r="F14" s="2"/>
      <x:c r="G14" s="71" t="n">
        <x:f>'Operations'!K9</x:f>
        <x:v>46508</x:v>
      </x:c>
      <x:c r="H14" s="72" t="n">
        <x:f>'Debt and Funding'!K36</x:f>
        <x:v>20000.0115855631</x:v>
      </x:c>
      <x:c r="I14" s="72" t="n">
        <x:f>'Debt and Funding'!K37</x:f>
        <x:v>306000.05792781536</x:v>
      </x:c>
      <x:c r="J14" s="72" t="n">
        <x:f>'Debt and Funding'!K33</x:f>
        <x:v>2955247.0918960427</x:v>
      </x:c>
      <x:c r="K14" s="2"/>
      <x:c r="L14" s="2"/>
    </x:row>
    <x:row r="15" ht="21" customHeight="1">
      <x:c r="A15" s="2"/>
      <x:c r="B15" s="2"/>
      <x:c r="C15" s="2" t="str">
        <x:v>Annual underwritten NCF</x:v>
      </x:c>
      <x:c r="D15" s="47" t="n">
        <x:f>'Debt and Funding'!D9</x:f>
        <x:v>299310.6</x:v>
      </x:c>
      <x:c r="E15" s="2"/>
      <x:c r="F15" s="2"/>
      <x:c r="G15" s="71" t="n">
        <x:f>'Operations'!L9</x:f>
        <x:v>46539</x:v>
      </x:c>
      <x:c r="H15" s="72" t="n">
        <x:f>'Debt and Funding'!L36</x:f>
        <x:v>20000.0115855631</x:v>
      </x:c>
      <x:c r="I15" s="72" t="n">
        <x:f>'Debt and Funding'!L37</x:f>
        <x:v>326000.06951337843</x:v>
      </x:c>
      <x:c r="J15" s="72" t="n">
        <x:f>'Debt and Funding'!L33</x:f>
        <x:v>2955247.0918960427</x:v>
      </x:c>
      <x:c r="K15" s="2"/>
      <x:c r="L15" s="2"/>
    </x:row>
    <x:row r="16" ht="21" customHeight="1">
      <x:c r="A16" s="2"/>
      <x:c r="B16" s="2"/>
      <x:c r="C16" s="2" t="str">
        <x:v>DSCR loan capacity</x:v>
      </x:c>
      <x:c r="D16" s="47" t="n">
        <x:f>'Debt and Funding'!D11</x:f>
        <x:v>2955247.0918960427</x:v>
      </x:c>
      <x:c r="E16" s="2"/>
      <x:c r="F16" s="2"/>
      <x:c r="G16" s="71" t="n">
        <x:f>'Operations'!M9</x:f>
        <x:v>46569</x:v>
      </x:c>
      <x:c r="H16" s="72" t="n">
        <x:f>'Debt and Funding'!M36</x:f>
        <x:v>-31204.04</x:v>
      </x:c>
      <x:c r="I16" s="72" t="n">
        <x:f>'Debt and Funding'!M37</x:f>
        <x:v>294796.02951337845</x:v>
      </x:c>
      <x:c r="J16" s="72" t="n">
        <x:f>'Debt and Funding'!M33</x:f>
        <x:v>2951300.64031048</x:v>
      </x:c>
      <x:c r="K16" s="2"/>
      <x:c r="L16" s="2"/>
    </x:row>
    <x:row r="17" ht="21" customHeight="1">
      <x:c r="A17" s="2"/>
      <x:c r="B17" s="2"/>
      <x:c r="C17" s="2" t="str">
        <x:v>LTV loan capacity</x:v>
      </x:c>
      <x:c r="D17" s="47" t="n">
        <x:f>'Debt and Funding'!D12</x:f>
        <x:v>3640000</x:v>
      </x:c>
      <x:c r="E17" s="2"/>
      <x:c r="F17" s="2"/>
      <x:c r="G17" s="71" t="n">
        <x:f>'Operations'!N9</x:f>
        <x:v>46600</x:v>
      </x:c>
      <x:c r="H17" s="72" t="n">
        <x:f>'Debt and Funding'!N36</x:f>
        <x:v>-31204.04</x:v>
      </x:c>
      <x:c r="I17" s="72" t="n">
        <x:f>'Debt and Funding'!N37</x:f>
        <x:v>263591.9895133785</x:v>
      </x:c>
      <x:c r="J17" s="72" t="n">
        <x:f>'Debt and Funding'!N33</x:f>
        <x:v>2947332.8121121614</x:v>
      </x:c>
      <x:c r="K17" s="2"/>
      <x:c r="L17" s="2"/>
    </x:row>
    <x:row r="18" ht="21" customHeight="1">
      <x:c r="A18" s="2"/>
      <x:c r="B18" s="2"/>
      <x:c r="C18" s="2" t="str">
        <x:v>Debt-yield loan capacity</x:v>
      </x:c>
      <x:c r="D18" s="47" t="n">
        <x:f>'Debt and Funding'!D13</x:f>
        <x:v>3325673.333333333</x:v>
      </x:c>
      <x:c r="E18" s="2"/>
      <x:c r="F18" s="2"/>
      <x:c r="G18" s="71" t="n">
        <x:f>'Operations'!O9</x:f>
        <x:v>46631</x:v>
      </x:c>
      <x:c r="H18" s="72" t="n">
        <x:f>'Debt and Funding'!O36</x:f>
        <x:v>-276704.04</x:v>
      </x:c>
      <x:c r="I18" s="72" t="n">
        <x:f>'Debt and Funding'!O37</x:f>
        <x:v>-13112.050486621505</x:v>
      </x:c>
      <x:c r="J18" s="72" t="n">
        <x:f>'Debt and Funding'!O33</x:f>
        <x:v>2943343.4915111023</x:v>
      </x:c>
      <x:c r="K18" s="2"/>
      <x:c r="L18" s="2"/>
    </x:row>
    <x:row r="19" ht="21" customHeight="1">
      <x:c r="A19" s="2"/>
      <x:c r="B19" s="2"/>
      <x:c r="C19" s="58" t="str">
        <x:v>Sized loan</x:v>
      </x:c>
      <x:c r="D19" s="68" t="n">
        <x:f>'Debt and Funding'!D14</x:f>
        <x:v>2955247.0918960427</x:v>
      </x:c>
      <x:c r="E19" s="2"/>
      <x:c r="F19" s="2"/>
      <x:c r="G19" s="71" t="n">
        <x:f>'Operations'!P9</x:f>
        <x:v>46661</x:v>
      </x:c>
      <x:c r="H19" s="72" t="n">
        <x:f>'Debt and Funding'!P36</x:f>
        <x:v>13550.96</x:v>
      </x:c>
      <x:c r="I19" s="72" t="n">
        <x:f>'Debt and Funding'!P37</x:f>
        <x:v>438.909513378494</x:v>
      </x:c>
      <x:c r="J19" s="72" t="n">
        <x:f>'Debt and Funding'!P33</x:f>
        <x:v>2939332.5620901207</x:v>
      </x:c>
      <x:c r="K19" s="2"/>
      <x:c r="L19" s="2"/>
    </x:row>
    <x:row r="20" ht="21" customHeight="1">
      <x:c r="A20" s="2"/>
      <x:c r="B20" s="2"/>
      <x:c r="C20" s="2" t="str">
        <x:v>Binding constraint (ties may exist)</x:v>
      </x:c>
      <x:c r="D20" s="69" t="str">
        <x:f>'Debt and Funding'!D15</x:f>
        <x:v>DSCR</x:v>
      </x:c>
      <x:c r="E20" s="2"/>
      <x:c r="F20" s="2"/>
      <x:c r="G20" s="71" t="n">
        <x:f>'Operations'!Q9</x:f>
        <x:v>46692</x:v>
      </x:c>
      <x:c r="H20" s="72" t="n">
        <x:f>'Debt and Funding'!Q36</x:f>
        <x:v>13550.96</x:v>
      </x:c>
      <x:c r="I20" s="72" t="n">
        <x:f>'Debt and Funding'!Q37</x:f>
        <x:v>13989.869513378493</x:v>
      </x:c>
      <x:c r="J20" s="72" t="n">
        <x:f>'Debt and Funding'!Q33</x:f>
        <x:v>2935299.906801442</x:v>
      </x:c>
      <x:c r="K20" s="2"/>
      <x:c r="L20" s="2"/>
    </x:row>
    <x:row r="21" ht="21" customHeight="1">
      <x:c r="A21" s="2"/>
      <x:c r="B21" s="2"/>
      <x:c r="C21" s="2" t="str">
        <x:v>First-year debt service</x:v>
      </x:c>
      <x:c r="D21" s="47" t="n">
        <x:f>'Debt and Funding'!D43</x:f>
        <x:v>215769.77048662145</x:v>
      </x:c>
      <x:c r="E21" s="2"/>
      <x:c r="F21" s="2"/>
      <x:c r="G21" s="71" t="n">
        <x:f>'Operations'!R9</x:f>
        <x:v>46722</x:v>
      </x:c>
      <x:c r="H21" s="72" t="n">
        <x:f>'Debt and Funding'!R36</x:f>
        <x:v>13550.96</x:v>
      </x:c>
      <x:c r="I21" s="72" t="n">
        <x:f>'Debt and Funding'!R37</x:f>
        <x:v>27540.829513378492</x:v>
      </x:c>
      <x:c r="J21" s="72" t="n">
        <x:f>'Debt and Funding'!R33</x:f>
        <x:v>2931245.4079632834</x:v>
      </x:c>
      <x:c r="K21" s="2"/>
      <x:c r="L21" s="2"/>
    </x:row>
    <x:row r="22" ht="21" customHeight="1">
      <x:c r="A22" s="2"/>
      <x:c r="B22" s="2"/>
      <x:c r="C22" s="2" t="str">
        <x:v>First-year underwritten DSCR</x:v>
      </x:c>
      <x:c r="D22" s="70" t="n">
        <x:f>'Debt and Funding'!D44</x:f>
        <x:v>1.3871757815053076</x:v>
      </x:c>
      <x:c r="E22" s="2"/>
      <x:c r="F22" s="2"/>
      <x:c r="G22" s="2"/>
      <x:c r="H22" s="2"/>
      <x:c r="I22" s="2"/>
      <x:c r="J22" s="2"/>
      <x:c r="K22" s="2"/>
      <x:c r="L22" s="2"/>
    </x:row>
    <x:row r="23" ht="21" customHeight="1">
      <x:c r="A23" s="2"/>
      <x:c r="B23" s="2"/>
      <x:c r="C23" s="2" t="str">
        <x:v>Signed closing equity requirement</x:v>
      </x:c>
      <x:c r="D23" s="47" t="n">
        <x:f>'Debt and Funding'!D18</x:f>
        <x:v>2744752.9081039573</x:v>
      </x:c>
      <x:c r="E23" s="2"/>
      <x:c r="F23" s="2"/>
      <x:c r="G23" s="2"/>
      <x:c r="H23" s="2"/>
      <x:c r="I23" s="2"/>
      <x:c r="J23" s="2"/>
      <x:c r="K23" s="2"/>
      <x:c r="L23" s="2"/>
    </x:row>
    <x:row r="24" ht="21" customHeight="1">
      <x:c r="A24" s="2"/>
      <x:c r="B24" s="2"/>
      <x:c r="C24" s="2" t="str">
        <x:v>Available equity less closing need</x:v>
      </x:c>
      <x:c r="D24" s="47" t="n">
        <x:f>'Debt and Funding'!D19</x:f>
        <x:v>255247.0918960427</x:v>
      </x:c>
      <x:c r="E24" s="2"/>
      <x:c r="F24" s="2"/>
      <x:c r="G24" s="2"/>
      <x:c r="H24" s="2"/>
      <x:c r="I24" s="2"/>
      <x:c r="J24" s="2"/>
      <x:c r="K24" s="2"/>
      <x:c r="L24" s="2"/>
    </x:row>
    <x:row r="25" ht="21" customHeight="1">
      <x:c r="A25" s="2"/>
      <x:c r="B25" s="2"/>
      <x:c r="C25" s="2" t="str">
        <x:v>Additional operating cash need</x:v>
      </x:c>
      <x:c r="D25" s="47" t="n">
        <x:f>'Debt and Funding'!D46</x:f>
        <x:v>13112.050486621505</x:v>
      </x:c>
      <x:c r="E25" s="2"/>
      <x:c r="F25" s="2"/>
      <x:c r="G25" s="2" t="str">
        <x:v>Start with Assumptions D5: 1 Base or 2 Downside.</x:v>
      </x:c>
      <x:c r="H25" s="2"/>
      <x:c r="I25" s="2"/>
      <x:c r="J25" s="2"/>
      <x:c r="K25" s="2"/>
      <x:c r="L25" s="2"/>
    </x:row>
    <x:row r="26" ht="21" customHeight="1">
      <x:c r="A26" s="2"/>
      <x:c r="B26" s="2"/>
      <x:c r="C26" s="58" t="str">
        <x:v>Sponsor cash after all modeled needs</x:v>
      </x:c>
      <x:c r="D26" s="68" t="n">
        <x:f>'Debt and Funding'!D47</x:f>
        <x:v>242135.0414094212</x:v>
      </x:c>
      <x:c r="E26" s="2"/>
      <x:c r="F26" s="2"/>
      <x:c r="G26" s="2"/>
      <x:c r="H26" s="2"/>
      <x:c r="I26" s="2"/>
      <x:c r="J26" s="2"/>
      <x:c r="K26" s="2"/>
      <x:c r="L26" s="2"/>
    </x:row>
    <x:row r="27" ht="21" customHeight="1">
      <x:c r="A27" s="2"/>
      <x:c r="B27" s="2"/>
      <x:c r="C27" s="2" t="str">
        <x:v>Year-end principal</x:v>
      </x:c>
      <x:c r="D27" s="47" t="n">
        <x:f>'Debt and Funding'!D45</x:f>
        <x:v>2931245.4079632834</x:v>
      </x:c>
      <x:c r="E27" s="2"/>
      <x:c r="F27" s="2"/>
      <x:c r="G27" s="2" t="str">
        <x:v>Edit blue cells in Lease Expiry and Owner Cash and Assumptions.</x:v>
      </x:c>
      <x:c r="H27" s="2"/>
      <x:c r="I27" s="2"/>
      <x:c r="J27" s="2"/>
      <x:c r="K27" s="2"/>
      <x:c r="L27" s="2"/>
    </x:row>
    <x:row r="28" ht="21" customHeight="1">
      <x:c r="A28" s="2"/>
      <x:c r="B28" s="2"/>
      <x:c r="C28" s="2" t="str">
        <x:v>Principal due at maturity</x:v>
      </x:c>
      <x:c r="D28" s="47" t="n">
        <x:f>'Debt and Funding'!D20</x:f>
        <x:v>2708467.1297985343</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Property value</x:v>
      </x:c>
      <x:c r="D10" s="26" t="n">
        <x:f>IF($D$5=1,IF(ISNUMBER(D11),IF(AND(D11&gt;=0,D11&lt;=1000000000000),D11,"n.a."),"n.a."),IF($D$5=2,IF(ISNUMBER(D12),IF(AND(D12&gt;=0,D12&lt;=1000000000000),D12,"n.a."),"n.a."),"n.a."))</x:f>
        <x:v>5600000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5600000</x:v>
      </x:c>
      <x:c r="E11" s="2"/>
      <x:c r="F11" s="2"/>
      <x:c r="G11" s="2"/>
      <x:c r="H11" s="2"/>
      <x:c r="I11" s="2"/>
      <x:c r="J11" s="2"/>
    </x:row>
    <x:row r="12" ht="35" customHeight="1">
      <x:c r="A12" s="2"/>
      <x:c r="B12" s="2"/>
      <x:c r="C12" s="28" t="str">
        <x:v>Downside</x:v>
      </x:c>
      <x:c r="D12" s="27" t="n">
        <x:v>4600000</x:v>
      </x:c>
      <x:c r="E12" s="2"/>
      <x:c r="F12" s="2"/>
      <x:c r="G12" s="42" t="str">
        <x:v>Missing or invalid selected inputs return n.a.; a valid zero remains zero.</x:v>
      </x:c>
      <x:c r="H12" s="2"/>
      <x:c r="I12" s="2"/>
      <x:c r="J12" s="2"/>
    </x:row>
    <x:row r="13" ht="21" customHeight="1">
      <x:c r="A13" s="2"/>
      <x:c r="B13" s="2"/>
      <x:c r="C13" s="24" t="str">
        <x:v>Acquisition price</x:v>
      </x:c>
      <x:c r="D13" s="26" t="n">
        <x:f>IF($D$5=1,IF(ISNUMBER(D14),IF(AND(D14&gt;=0,D14&lt;=1000000000000),D14,"n.a."),"n.a."),IF($D$5=2,IF(ISNUMBER(D15),IF(AND(D15&gt;=0,D15&lt;=1000000000000),D15,"n.a."),"n.a."),"n.a."))</x:f>
        <x:v>5200000</x:v>
      </x:c>
      <x:c r="E13" s="22" t="str">
        <x:v>USD</x:v>
      </x:c>
      <x:c r="F13" s="2"/>
      <x:c r="G13" s="2"/>
      <x:c r="H13" s="2"/>
      <x:c r="I13" s="2"/>
      <x:c r="J13" s="2"/>
    </x:row>
    <x:row r="14" ht="35" customHeight="1">
      <x:c r="A14" s="2"/>
      <x:c r="B14" s="2"/>
      <x:c r="C14" s="28" t="str">
        <x:v>Base</x:v>
      </x:c>
      <x:c r="D14" s="27" t="n">
        <x:v>5200000</x:v>
      </x:c>
      <x:c r="E14" s="2"/>
      <x:c r="F14" s="2"/>
      <x:c r="G14" s="42" t="str">
        <x:v>Downside inputs feed the same model. Change D5 to recalculate.</x:v>
      </x:c>
      <x:c r="H14" s="2"/>
      <x:c r="I14" s="2"/>
      <x:c r="J14" s="2"/>
    </x:row>
    <x:row r="15" ht="21" customHeight="1">
      <x:c r="A15" s="2"/>
      <x:c r="B15" s="2"/>
      <x:c r="C15" s="28" t="str">
        <x:v>Downside</x:v>
      </x:c>
      <x:c r="D15" s="27" t="n">
        <x:v>5200000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150000</x:v>
      </x:c>
      <x:c r="E16" s="22" t="str">
        <x:v>USD</x:v>
      </x:c>
      <x:c r="F16" s="2"/>
      <x:c r="G16" s="42" t="str">
        <x:v>NCF adjustment changes sizing only, not cash actually available.</x:v>
      </x:c>
      <x:c r="H16" s="2"/>
      <x:c r="I16" s="2"/>
      <x:c r="J16" s="2"/>
    </x:row>
    <x:row r="17" ht="21" customHeight="1">
      <x:c r="A17" s="2"/>
      <x:c r="B17" s="2"/>
      <x:c r="C17" s="28" t="str">
        <x:v>Base</x:v>
      </x:c>
      <x:c r="D17" s="27" t="n">
        <x:v>150000</x:v>
      </x:c>
      <x:c r="E17" s="2"/>
      <x:c r="F17" s="2"/>
      <x:c r="G17" s="2"/>
      <x:c r="H17" s="2"/>
      <x:c r="I17" s="2"/>
      <x:c r="J17" s="2"/>
    </x:row>
    <x:row r="18" ht="35" customHeight="1">
      <x:c r="A18" s="2"/>
      <x:c r="B18" s="2"/>
      <x:c r="C18" s="28" t="str">
        <x:v>Downside</x:v>
      </x:c>
      <x:c r="D18" s="27" t="n">
        <x:v>150000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100000</x:v>
      </x:c>
      <x:c r="E19" s="22" t="str">
        <x:v>USD</x:v>
      </x:c>
      <x:c r="F19" s="2"/>
      <x:c r="G19" s="2"/>
      <x:c r="H19" s="2"/>
      <x:c r="I19" s="2"/>
      <x:c r="J19" s="2"/>
    </x:row>
    <x:row r="20" ht="35" customHeight="1">
      <x:c r="A20" s="2"/>
      <x:c r="B20" s="2"/>
      <x:c r="C20" s="28" t="str">
        <x:v>Base</x:v>
      </x:c>
      <x:c r="D20" s="27" t="n">
        <x:v>100000</x:v>
      </x:c>
      <x:c r="E20" s="2"/>
      <x:c r="F20" s="2"/>
      <x:c r="G20" s="42" t="str">
        <x:v>Restricted closing reserves are not available operating cash.</x:v>
      </x:c>
      <x:c r="H20" s="2"/>
      <x:c r="I20" s="2"/>
      <x:c r="J20" s="2"/>
    </x:row>
    <x:row r="21" ht="21" customHeight="1">
      <x:c r="A21" s="2"/>
      <x:c r="B21" s="2"/>
      <x:c r="C21" s="28" t="str">
        <x:v>Downside</x:v>
      </x:c>
      <x:c r="D21" s="27" t="n">
        <x:v>100000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250000</x:v>
      </x:c>
      <x:c r="E22" s="22" t="str">
        <x:v>USD</x:v>
      </x:c>
      <x:c r="F22" s="2"/>
      <x:c r="G22" s="42" t="str">
        <x:v>Opening operating cash is funded in closing uses exactly once.</x:v>
      </x:c>
      <x:c r="H22" s="2"/>
      <x:c r="I22" s="2"/>
      <x:c r="J22" s="2"/>
    </x:row>
    <x:row r="23" ht="21" customHeight="1">
      <x:c r="A23" s="2"/>
      <x:c r="B23" s="2"/>
      <x:c r="C23" s="28" t="str">
        <x:v>Base</x:v>
      </x:c>
      <x:c r="D23" s="27" t="n">
        <x:v>250000</x:v>
      </x:c>
      <x:c r="E23" s="2"/>
      <x:c r="F23" s="2"/>
      <x:c r="G23" s="2"/>
      <x:c r="H23" s="2"/>
      <x:c r="I23" s="2"/>
      <x:c r="J23" s="2"/>
    </x:row>
    <x:row r="24" ht="35" customHeight="1">
      <x:c r="A24" s="2"/>
      <x:c r="B24" s="2"/>
      <x:c r="C24" s="28" t="str">
        <x:v>Downside</x:v>
      </x:c>
      <x:c r="D24" s="27" t="n">
        <x:v>250000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3000000</x:v>
      </x:c>
      <x:c r="E25" s="22" t="str">
        <x:v>USD</x:v>
      </x:c>
      <x:c r="F25" s="2"/>
      <x:c r="G25" s="2"/>
      <x:c r="H25" s="2"/>
      <x:c r="I25" s="2"/>
      <x:c r="J25" s="2"/>
    </x:row>
    <x:row r="26" ht="21" customHeight="1">
      <x:c r="A26" s="2"/>
      <x:c r="B26" s="2"/>
      <x:c r="C26" s="28" t="str">
        <x:v>Base</x:v>
      </x:c>
      <x:c r="D26" s="27" t="n">
        <x:v>3000000</x:v>
      </x:c>
      <x:c r="E26" s="2"/>
      <x:c r="F26" s="2"/>
      <x:c r="G26" s="2"/>
      <x:c r="H26" s="2"/>
      <x:c r="I26" s="2"/>
      <x:c r="J26" s="2"/>
    </x:row>
    <x:row r="27" ht="21" customHeight="1">
      <x:c r="A27" s="2"/>
      <x:c r="B27" s="2"/>
      <x:c r="C27" s="28" t="str">
        <x:v>Downside</x:v>
      </x:c>
      <x:c r="D27" s="27" t="n">
        <x:v>3000000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3400000</x:v>
      </x:c>
      <x:c r="E28" s="22" t="str">
        <x:v>USD</x:v>
      </x:c>
      <x:c r="F28" s="2"/>
      <x:c r="G28" s="2"/>
      <x:c r="H28" s="2"/>
      <x:c r="I28" s="2"/>
      <x:c r="J28" s="2"/>
    </x:row>
    <x:row r="29" ht="21" customHeight="1">
      <x:c r="A29" s="2"/>
      <x:c r="B29" s="2"/>
      <x:c r="C29" s="28" t="str">
        <x:v>Base</x:v>
      </x:c>
      <x:c r="D29" s="27" t="n">
        <x:v>3400000</x:v>
      </x:c>
      <x:c r="E29" s="2"/>
      <x:c r="F29" s="2"/>
      <x:c r="G29" s="2"/>
      <x:c r="H29" s="2"/>
      <x:c r="I29" s="2"/>
      <x:c r="J29" s="2"/>
    </x:row>
    <x:row r="30" ht="75" customHeight="1">
      <x:c r="A30" s="2"/>
      <x:c r="B30" s="2"/>
      <x:c r="C30" s="28" t="str">
        <x:v>Downside</x:v>
      </x:c>
      <x:c r="D30" s="27" t="n">
        <x:v>3400000</x:v>
      </x:c>
      <x:c r="E30" s="2"/>
      <x:c r="F30" s="2"/>
      <x:c r="G30" s="42" t="str">
        <x:v>Expiry month is the first month without the existing lease. Replacement possession begins after entered downtime; base rent starts after the additional free-rent months. Whole-month timing does not reproduce daily prorations.</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Improvement and commission inputs are paid once at replacement possession. Only that month is used. Other capital follows its entered monthly schedule. Costs after month 12 are outside this cash horizon.</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Reimbursement cash is entered separately, including any recovery during free base rent. Enter zero where no entitlement or collection exists. Owner obligations remain even if the lease is described as net.</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Replacement rent is hypothetical, not a signed renewal or credit conclusion. The workbook omits tenant financial analysis, guarantee interpretation and residual-value appraisal. First-year income sizing does not prove refinancing capacity at the later loan maturity.</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21" customHeight="1">
      <x:c r="A38" s="2"/>
      <x:c r="B38" s="2"/>
      <x:c r="C38" s="28" t="str">
        <x:v>Base</x:v>
      </x:c>
      <x:c r="D38" s="16" t="n">
        <x:v>6</x:v>
      </x:c>
      <x:c r="E38" s="2"/>
      <x:c r="F38" s="2"/>
      <x:c r="G38" s="2"/>
      <x:c r="H38" s="2"/>
      <x:c r="I38" s="2"/>
      <x:c r="J38" s="2"/>
    </x:row>
    <x:row r="39" ht="21" customHeight="1">
      <x:c r="A39" s="2"/>
      <x:c r="B39" s="2"/>
      <x:c r="C39" s="28" t="str">
        <x:v>Downside</x:v>
      </x:c>
      <x:c r="D39" s="16" t="n">
        <x:v>6</x:v>
      </x:c>
      <x:c r="E39" s="2"/>
      <x:c r="F39" s="2"/>
      <x:c r="G39" s="2"/>
      <x:c r="H39" s="2"/>
      <x:c r="I39" s="2"/>
      <x:c r="J39" s="2"/>
    </x:row>
    <x:row r="40" ht="21" customHeight="1">
      <x:c r="A40" s="2"/>
      <x:c r="B40" s="2"/>
      <x:c r="C40" s="24" t="str">
        <x:v>Loan term (months)</x:v>
      </x:c>
      <x:c r="D40" s="37" t="n">
        <x:f>IF($D$5=1,IF(ISNUMBER(D41),IF(AND(D41&gt;=12,D41&lt;=600,D41=INT(D41)),D41,"n.a."),"n.a."),IF($D$5=2,IF(ISNUMBER(D42),IF(AND(D42&gt;=12,D42&lt;=600,D42=INT(D42)),D42,"n.a."),"n.a."),"n.a."))</x:f>
        <x:v>60</x:v>
      </x:c>
      <x:c r="E40" s="22" t="str">
        <x:v>months</x:v>
      </x:c>
      <x:c r="F40" s="2"/>
      <x:c r="G40" s="2"/>
      <x:c r="H40" s="2"/>
      <x:c r="I40" s="2"/>
      <x:c r="J40" s="2"/>
    </x:row>
    <x:row r="41" ht="21" customHeight="1">
      <x:c r="A41" s="2"/>
      <x:c r="B41" s="2"/>
      <x:c r="C41" s="28" t="str">
        <x:v>Base</x:v>
      </x:c>
      <x:c r="D41" s="16" t="n">
        <x:v>60</x:v>
      </x:c>
      <x:c r="E41" s="2"/>
      <x:c r="F41" s="2"/>
      <x:c r="G41" s="2"/>
      <x:c r="H41" s="2"/>
      <x:c r="I41" s="2"/>
      <x:c r="J41" s="2"/>
    </x:row>
    <x:row r="42" ht="21" customHeight="1">
      <x:c r="A42" s="2"/>
      <x:c r="B42" s="2"/>
      <x:c r="C42" s="28" t="str">
        <x:v>Downside</x:v>
      </x:c>
      <x:c r="D42" s="16" t="n">
        <x:v>60</x:v>
      </x:c>
      <x:c r="E42" s="2"/>
      <x:c r="F42" s="2"/>
      <x:c r="G42" s="2"/>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21" customHeight="1">
      <x:c r="A44" s="2"/>
      <x:c r="B44" s="2"/>
      <x:c r="C44" s="34" t="str">
        <x:v>Base</x:v>
      </x:c>
      <x:c r="D44" s="35" t="n">
        <x:v>0.65</x:v>
      </x:c>
      <x:c r="E44" s="36"/>
      <x:c r="F44" s="2"/>
      <x:c r="G44" s="2"/>
      <x:c r="H44" s="2"/>
      <x:c r="I44" s="2"/>
      <x:c r="J44" s="2"/>
    </x:row>
    <x:row r="45" ht="21" customHeight="1">
      <x:c r="A45" s="2"/>
      <x:c r="B45" s="2"/>
      <x:c r="C45" s="34" t="str">
        <x:v>Downside</x:v>
      </x:c>
      <x:c r="D45" s="35" t="n">
        <x:v>0.6</x:v>
      </x:c>
      <x:c r="E45" s="36"/>
      <x:c r="F45" s="2"/>
      <x:c r="G45" s="2"/>
      <x:c r="H45" s="2"/>
      <x:c r="I45" s="2"/>
      <x:c r="J45" s="2"/>
    </x:row>
    <x:row r="46" ht="21" customHeight="1">
      <x:c r="A46" s="2"/>
      <x:c r="B46" s="2"/>
      <x:c r="C46" s="31" t="str">
        <x:v>Minimum sizing DSCR</x:v>
      </x:c>
      <x:c r="D46" s="40" t="n">
        <x:f>IF($D$5=1,IF(ISNUMBER(D47),IF(AND(D47&gt;=0.01,D47&lt;=10),D47,"n.a."),"n.a."),IF($D$5=2,IF(ISNUMBER(D48),IF(AND(D48&gt;=0.01,D48&lt;=10),D48,"n.a."),"n.a."),"n.a."))</x:f>
        <x:v>1.25</x:v>
      </x:c>
      <x:c r="E46" s="33" t="str">
        <x:v>x</x:v>
      </x:c>
      <x:c r="F46" s="2"/>
      <x:c r="G46" s="2"/>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-25000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45000</x:v>
      </x:c>
      <x:c r="E55" s="22" t="str">
        <x:v>USD</x:v>
      </x:c>
      <x:c r="F55" s="2"/>
      <x:c r="G55" s="2"/>
      <x:c r="H55" s="2"/>
      <x:c r="I55" s="2"/>
      <x:c r="J55" s="2"/>
    </x:row>
    <x:row r="56" ht="21" customHeight="1">
      <x:c r="A56" s="2"/>
      <x:c r="B56" s="2"/>
      <x:c r="C56" s="28" t="str">
        <x:v>Base</x:v>
      </x:c>
      <x:c r="D56" s="27" t="n">
        <x:v>45000</x:v>
      </x:c>
      <x:c r="E56" s="2"/>
      <x:c r="F56" s="2"/>
      <x:c r="G56" s="2"/>
      <x:c r="H56" s="2"/>
      <x:c r="I56" s="2"/>
      <x:c r="J56" s="2"/>
    </x:row>
    <x:row r="57" ht="21" customHeight="1">
      <x:c r="A57" s="2"/>
      <x:c r="B57" s="2"/>
      <x:c r="C57" s="28" t="str">
        <x:v>Downside</x:v>
      </x:c>
      <x:c r="D57" s="27" t="n">
        <x:v>60000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0.03</x:v>
      </x:c>
      <x:c r="E58" s="33" t="str">
        <x:v>%</x:v>
      </x:c>
      <x:c r="F58" s="2"/>
      <x:c r="G58" s="2"/>
      <x:c r="H58" s="2"/>
      <x:c r="I58" s="2"/>
      <x:c r="J58" s="2"/>
    </x:row>
    <x:row r="59" ht="21" customHeight="1">
      <x:c r="A59" s="2"/>
      <x:c r="B59" s="2"/>
      <x:c r="C59" s="34" t="str">
        <x:v>Base</x:v>
      </x:c>
      <x:c r="D59" s="35" t="n">
        <x:v>0.03</x:v>
      </x:c>
      <x:c r="E59" s="36"/>
      <x:c r="F59" s="2"/>
      <x:c r="G59" s="2"/>
      <x:c r="H59" s="2"/>
      <x:c r="I59" s="2"/>
      <x:c r="J59" s="2"/>
    </x:row>
    <x:row r="60" ht="21" customHeight="1">
      <x:c r="A60" s="2"/>
      <x:c r="B60" s="2"/>
      <x:c r="C60" s="34" t="str">
        <x:v>Downside</x:v>
      </x:c>
      <x:c r="D60" s="35" t="n">
        <x:v>0.04</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4" t="str">
        <x:v>First month after existing lease expiry</x:v>
      </x:c>
      <x:c r="D73" s="37" t="n">
        <x:f>IF($D$5=1,IF(ISNUMBER(D74),IF(AND(D74&gt;=1,D74&lt;=13,D74=INT(D74)),D74,"n.a."),"n.a."),IF($D$5=2,IF(ISNUMBER(D75),IF(AND(D75&gt;=1,D75&lt;=13,D75=INT(D75)),D75,"n.a."),"n.a."),"n.a."))</x:f>
        <x:v>7</x:v>
      </x:c>
      <x:c r="E73" s="22" t="str">
        <x:v>month</x:v>
      </x:c>
      <x:c r="F73" s="2"/>
      <x:c r="G73" s="2"/>
      <x:c r="H73" s="2"/>
      <x:c r="I73" s="2"/>
      <x:c r="J73" s="2"/>
    </x:row>
    <x:row r="74" ht="21" customHeight="1">
      <x:c r="A74" s="2"/>
      <x:c r="B74" s="2"/>
      <x:c r="C74" s="28" t="str">
        <x:v>Base</x:v>
      </x:c>
      <x:c r="D74" s="16" t="n">
        <x:v>7</x:v>
      </x:c>
      <x:c r="E74" s="2"/>
      <x:c r="F74" s="2"/>
      <x:c r="G74" s="2"/>
      <x:c r="H74" s="2"/>
      <x:c r="I74" s="2"/>
      <x:c r="J74" s="2"/>
    </x:row>
    <x:row r="75" ht="21" customHeight="1">
      <x:c r="A75" s="2"/>
      <x:c r="B75" s="2"/>
      <x:c r="C75" s="28" t="str">
        <x:v>Downside</x:v>
      </x:c>
      <x:c r="D75" s="16" t="n">
        <x:v>7</x:v>
      </x:c>
      <x:c r="E75" s="2"/>
      <x:c r="F75" s="2"/>
      <x:c r="G75" s="2"/>
      <x:c r="H75" s="2"/>
      <x:c r="I75" s="2"/>
      <x:c r="J75" s="2"/>
    </x:row>
    <x:row r="76" ht="21" customHeight="1">
      <x:c r="A76" s="2"/>
      <x:c r="B76" s="2"/>
      <x:c r="C76" s="24" t="str">
        <x:v>Vacant months before replacement possession</x:v>
      </x:c>
      <x:c r="D76" s="37" t="n">
        <x:f>IF($D$5=1,IF(ISNUMBER(D77),IF(AND(D77&gt;=0,D77&lt;=24,D77=INT(D77)),D77,"n.a."),"n.a."),IF($D$5=2,IF(ISNUMBER(D78),IF(AND(D78&gt;=0,D78&lt;=24,D78=INT(D78)),D78,"n.a."),"n.a."),"n.a."))</x:f>
        <x:v>2</x:v>
      </x:c>
      <x:c r="E76" s="22" t="str">
        <x:v>months</x:v>
      </x:c>
      <x:c r="F76" s="2"/>
      <x:c r="G76" s="2"/>
      <x:c r="H76" s="2"/>
      <x:c r="I76" s="2"/>
      <x:c r="J76" s="2"/>
    </x:row>
    <x:row r="77" ht="21" customHeight="1">
      <x:c r="A77" s="2"/>
      <x:c r="B77" s="2"/>
      <x:c r="C77" s="28" t="str">
        <x:v>Base</x:v>
      </x:c>
      <x:c r="D77" s="16" t="n">
        <x:v>2</x:v>
      </x:c>
      <x:c r="E77" s="2"/>
      <x:c r="F77" s="2"/>
      <x:c r="G77" s="2"/>
      <x:c r="H77" s="2"/>
      <x:c r="I77" s="2"/>
      <x:c r="J77" s="2"/>
    </x:row>
    <x:row r="78" ht="21" customHeight="1">
      <x:c r="A78" s="2"/>
      <x:c r="B78" s="2"/>
      <x:c r="C78" s="28" t="str">
        <x:v>Downside</x:v>
      </x:c>
      <x:c r="D78" s="16" t="n">
        <x:v>4</x:v>
      </x:c>
      <x:c r="E78" s="2"/>
      <x:c r="F78" s="2"/>
      <x:c r="G78" s="2"/>
      <x:c r="H78" s="2"/>
      <x:c r="I78" s="2"/>
      <x:c r="J78" s="2"/>
    </x:row>
    <x:row r="79" ht="21" customHeight="1">
      <x:c r="A79" s="2"/>
      <x:c r="B79" s="2"/>
      <x:c r="C79" s="24" t="str">
        <x:v>Free base-rent months after possession</x:v>
      </x:c>
      <x:c r="D79" s="37" t="n">
        <x:f>IF($D$5=1,IF(ISNUMBER(D80),IF(AND(D80&gt;=0,D80&lt;=24,D80=INT(D80)),D80,"n.a."),"n.a."),IF($D$5=2,IF(ISNUMBER(D81),IF(AND(D81&gt;=0,D81&lt;=24,D81=INT(D81)),D81,"n.a."),"n.a."),"n.a."))</x:f>
        <x:v>1</x:v>
      </x:c>
      <x:c r="E79" s="22" t="str">
        <x:v>months</x:v>
      </x:c>
      <x:c r="F79" s="2"/>
      <x:c r="G79" s="2"/>
      <x:c r="H79" s="2"/>
      <x:c r="I79" s="2"/>
      <x:c r="J79" s="2"/>
    </x:row>
    <x:row r="80" ht="21" customHeight="1">
      <x:c r="A80" s="2"/>
      <x:c r="B80" s="2"/>
      <x:c r="C80" s="28" t="str">
        <x:v>Base</x:v>
      </x:c>
      <x:c r="D80" s="16" t="n">
        <x:v>1</x:v>
      </x:c>
      <x:c r="E80" s="2"/>
      <x:c r="F80" s="2"/>
      <x:c r="G80" s="2"/>
      <x:c r="H80" s="2"/>
      <x:c r="I80" s="2"/>
      <x:c r="J80" s="2"/>
    </x:row>
    <x:row r="81" ht="21" customHeight="1">
      <x:c r="A81" s="2"/>
      <x:c r="B81" s="2"/>
      <x:c r="C81" s="28" t="str">
        <x:v>Downside</x:v>
      </x:c>
      <x:c r="D81" s="16" t="n">
        <x:v>2</x:v>
      </x:c>
      <x:c r="E81" s="2"/>
      <x:c r="F81" s="2"/>
      <x:c r="G81" s="2"/>
      <x:c r="H81" s="2"/>
      <x:c r="I81" s="2"/>
      <x:c r="J81" s="2"/>
    </x:row>
    <x:row r="82" ht="21" customHeight="1">
      <x:c r="A82" s="2"/>
      <x:c r="B82" s="2"/>
      <x:c r="C82" s="2"/>
      <x:c r="D82" s="2"/>
      <x:c r="E82" s="2"/>
      <x:c r="F82" s="2"/>
      <x:c r="G82" s="2"/>
      <x:c r="H82" s="2"/>
      <x:c r="I82" s="2"/>
      <x:c r="J82" s="2"/>
    </x:row>
    <x:row r="83" ht="21" customHeight="1">
      <x:c r="A83" s="2"/>
      <x:c r="B83" s="2"/>
      <x:c r="C83" s="2"/>
      <x:c r="D83" s="2"/>
      <x:c r="E83" s="2"/>
      <x:c r="F83" s="2"/>
      <x:c r="G83" s="2"/>
      <x:c r="H83" s="2"/>
      <x:c r="I83" s="2"/>
      <x:c r="J83" s="2"/>
    </x:row>
    <x:row r="84" ht="21" customHeight="1">
      <x:c r="A84" s="2"/>
      <x:c r="B84" s="2"/>
      <x:c r="C84" s="2"/>
      <x:c r="D84" s="2"/>
      <x:c r="E84" s="2"/>
      <x:c r="F84" s="2"/>
      <x:c r="G84" s="2"/>
      <x:c r="H84" s="2"/>
      <x:c r="I84" s="2"/>
      <x:c r="J84" s="2"/>
    </x:row>
    <x:row r="85" ht="21" customHeight="1">
      <x:c r="A85" s="2"/>
      <x:c r="B85" s="2"/>
      <x:c r="C85" s="2"/>
      <x:c r="D85" s="2"/>
      <x:c r="E85" s="2"/>
      <x:c r="F85" s="2"/>
      <x:c r="G85" s="2"/>
      <x:c r="H85" s="2"/>
      <x:c r="I85" s="2"/>
      <x:c r="J85" s="2"/>
    </x:row>
    <x:row r="86" ht="21" customHeight="1">
      <x:c r="A86" s="2"/>
      <x:c r="B86" s="2"/>
      <x:c r="C86" s="2"/>
      <x:c r="D86" s="2"/>
      <x:c r="E86" s="2"/>
      <x:c r="F86" s="2"/>
      <x:c r="G86" s="2"/>
      <x:c r="H86" s="2"/>
      <x:c r="I86" s="2"/>
      <x:c r="J86" s="2"/>
    </x:row>
    <x:row r="87" ht="21" customHeight="1">
      <x:c r="A87" s="2"/>
      <x:c r="B87" s="2"/>
      <x:c r="C87" s="2"/>
      <x:c r="D87" s="2"/>
      <x:c r="E87" s="2"/>
      <x:c r="F87" s="2"/>
      <x:c r="G87" s="2"/>
      <x:c r="H87" s="2"/>
      <x:c r="I87" s="2"/>
      <x:c r="J87" s="2"/>
    </x:row>
  </x:sheetData>
  <x:dataValidations count="50">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 type="decimal" operator="between" sqref="D74">
      <x:formula1>1</x:formula1>
      <x:formula2>13</x:formula2>
    </x:dataValidation>
    <x:dataValidation type="decimal" operator="between" sqref="D75">
      <x:formula1>1</x:formula1>
      <x:formula2>13</x:formula2>
    </x:dataValidation>
    <x:dataValidation type="decimal" operator="between" sqref="D77">
      <x:formula1>0</x:formula1>
      <x:formula2>24</x:formula2>
    </x:dataValidation>
    <x:dataValidation type="decimal" operator="between" sqref="D78">
      <x:formula1>0</x:formula1>
      <x:formula2>24</x:formula2>
    </x:dataValidation>
    <x:dataValidation type="decimal" operator="between" sqref="D80">
      <x:formula1>0</x:formula1>
      <x:formula2>24</x:formula2>
    </x:dataValidation>
    <x:dataValidation type="decimal" operator="between" sqref="D81">
      <x:formula1>0</x:formula1>
      <x:formula2>24</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Lease Expiry and Owner Cash</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Existing monthly contract rent</x:v>
      </x:c>
      <x:c r="E9" s="21" t="str">
        <x:v>Existing rent collection fraction</x:v>
      </x:c>
      <x:c r="F9" s="21" t="str">
        <x:v>Additional vacant holding costs</x:v>
      </x:c>
      <x:c r="G9" s="21" t="str">
        <x:v>Recurring owner obligations</x:v>
      </x:c>
      <x:c r="H9" s="21" t="str">
        <x:v>Actual reimbursement cash</x:v>
      </x:c>
      <x:c r="I9" s="21" t="str">
        <x:v>Replacement monthly base rent</x:v>
      </x:c>
      <x:c r="J9" s="21" t="str">
        <x:v>New-lease improvement payment</x:v>
      </x:c>
      <x:c r="K9" s="21" t="str">
        <x:v>New-lease commission payment</x:v>
      </x:c>
      <x:c r="L9" s="21" t="str">
        <x:v>Other owner capital</x:v>
      </x:c>
      <x:c r="M9" s="2"/>
      <x:c r="N9" s="21" t="str">
        <x:v>Input status</x:v>
      </x:c>
      <x:c r="O9" s="2"/>
      <x:c r="P9" s="2"/>
    </x:row>
    <x:row r="10" ht="21" customHeight="1">
      <x:c r="A10" s="2"/>
      <x:c r="B10" s="2"/>
      <x:c r="C10" s="43" t="n">
        <x:f>IF(ISNUMBER('Assumptions'!D7),IF(AND('Assumptions'!D7=INT('Assumptions'!D7),'Assumptions'!D7&gt;=2000,'Assumptions'!D7&lt;=2100),DATE('Assumptions'!D7,1,1),"n.a."),"n.a.")</x:f>
        <x:v>46388</x:v>
      </x:c>
      <x:c r="D10" s="27" t="n">
        <x:v>42000</x:v>
      </x:c>
      <x:c r="E10" s="30" t="n">
        <x:v>0.99</x:v>
      </x:c>
      <x:c r="F10" s="27" t="n">
        <x:v>4500</x:v>
      </x:c>
      <x:c r="G10" s="27" t="n">
        <x:v>2000</x:v>
      </x:c>
      <x:c r="H10" s="27" t="n">
        <x:v>2500</x:v>
      </x:c>
      <x:c r="I10" s="27" t="n">
        <x:v>39000</x:v>
      </x:c>
      <x:c r="J10" s="27" t="n">
        <x:v>220000</x:v>
      </x:c>
      <x:c r="K10" s="27" t="n">
        <x:v>30000</x:v>
      </x:c>
      <x:c r="L10" s="27" t="n">
        <x:v>1000</x:v>
      </x:c>
      <x:c r="M10" s="2"/>
      <x:c r="N10" s="13" t="str">
        <x:f>IF(AND(IF(ISNUMBER(D10),AND(D10&gt;=0,D10&lt;=1000000000000),FALSE),IF(ISNUMBER(E10),AND(E10&gt;=0,E10&lt;=1),FALSE),IF(ISNUMBER(F10),AND(F10&gt;=0,F10&lt;=1000000000000),FALSE),IF(ISNUMBER(G10),AND(G10&gt;=0,G10&lt;=1000000000000),FALSE),IF(ISNUMBER(H10),AND(H10&gt;=0,H10&lt;=1000000000000),FALSE),IF(ISNUMBER(I10),AND(I10&gt;=0,I10&lt;=1000000000000),FALSE),IF(ISNUMBER(J10),AND(J10&gt;=0,J10&lt;=1000000000000),FALSE),IF(ISNUMBER(K10),AND(K10&gt;=0,K10&lt;=1000000000000),FALSE),IF(ISNUMBER(L10),AND(L10&gt;=0,L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27" t="n">
        <x:v>42000</x:v>
      </x:c>
      <x:c r="E11" s="30" t="n">
        <x:v>0.99</x:v>
      </x:c>
      <x:c r="F11" s="27" t="n">
        <x:v>4500</x:v>
      </x:c>
      <x:c r="G11" s="27" t="n">
        <x:v>2000</x:v>
      </x:c>
      <x:c r="H11" s="27" t="n">
        <x:v>2500</x:v>
      </x:c>
      <x:c r="I11" s="27" t="n">
        <x:v>39000</x:v>
      </x:c>
      <x:c r="J11" s="27" t="n">
        <x:v>220000</x:v>
      </x:c>
      <x:c r="K11" s="27" t="n">
        <x:v>30000</x:v>
      </x:c>
      <x:c r="L11" s="27" t="n">
        <x:v>1000</x:v>
      </x:c>
      <x:c r="M11" s="2"/>
      <x:c r="N11" s="13" t="str">
        <x:f>IF(AND(IF(ISNUMBER(D11),AND(D11&gt;=0,D11&lt;=1000000000000),FALSE),IF(ISNUMBER(E11),AND(E11&gt;=0,E11&lt;=1),FALSE),IF(ISNUMBER(F11),AND(F11&gt;=0,F11&lt;=1000000000000),FALSE),IF(ISNUMBER(G11),AND(G11&gt;=0,G11&lt;=1000000000000),FALSE),IF(ISNUMBER(H11),AND(H11&gt;=0,H11&lt;=1000000000000),FALSE),IF(ISNUMBER(I11),AND(I11&gt;=0,I11&lt;=1000000000000),FALSE),IF(ISNUMBER(J11),AND(J11&gt;=0,J11&lt;=1000000000000),FALSE),IF(ISNUMBER(K11),AND(K11&gt;=0,K11&lt;=1000000000000),FALSE),IF(ISNUMBER(L11),AND(L11&gt;=0,L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27" t="n">
        <x:v>42000</x:v>
      </x:c>
      <x:c r="E12" s="30" t="n">
        <x:v>0.99</x:v>
      </x:c>
      <x:c r="F12" s="27" t="n">
        <x:v>4500</x:v>
      </x:c>
      <x:c r="G12" s="27" t="n">
        <x:v>2000</x:v>
      </x:c>
      <x:c r="H12" s="27" t="n">
        <x:v>2500</x:v>
      </x:c>
      <x:c r="I12" s="27" t="n">
        <x:v>39000</x:v>
      </x:c>
      <x:c r="J12" s="27" t="n">
        <x:v>220000</x:v>
      </x:c>
      <x:c r="K12" s="27" t="n">
        <x:v>30000</x:v>
      </x:c>
      <x:c r="L12" s="27" t="n">
        <x:v>45000</x:v>
      </x:c>
      <x:c r="M12" s="2"/>
      <x:c r="N12" s="13" t="str">
        <x:f>IF(AND(IF(ISNUMBER(D12),AND(D12&gt;=0,D12&lt;=1000000000000),FALSE),IF(ISNUMBER(E12),AND(E12&gt;=0,E12&lt;=1),FALSE),IF(ISNUMBER(F12),AND(F12&gt;=0,F12&lt;=1000000000000),FALSE),IF(ISNUMBER(G12),AND(G12&gt;=0,G12&lt;=1000000000000),FALSE),IF(ISNUMBER(H12),AND(H12&gt;=0,H12&lt;=1000000000000),FALSE),IF(ISNUMBER(I12),AND(I12&gt;=0,I12&lt;=1000000000000),FALSE),IF(ISNUMBER(J12),AND(J12&gt;=0,J12&lt;=1000000000000),FALSE),IF(ISNUMBER(K12),AND(K12&gt;=0,K12&lt;=1000000000000),FALSE),IF(ISNUMBER(L12),AND(L12&gt;=0,L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27" t="n">
        <x:v>42000</x:v>
      </x:c>
      <x:c r="E13" s="30" t="n">
        <x:v>0.99</x:v>
      </x:c>
      <x:c r="F13" s="27" t="n">
        <x:v>4500</x:v>
      </x:c>
      <x:c r="G13" s="27" t="n">
        <x:v>2000</x:v>
      </x:c>
      <x:c r="H13" s="27" t="n">
        <x:v>2500</x:v>
      </x:c>
      <x:c r="I13" s="27" t="n">
        <x:v>39000</x:v>
      </x:c>
      <x:c r="J13" s="27" t="n">
        <x:v>220000</x:v>
      </x:c>
      <x:c r="K13" s="27" t="n">
        <x:v>30000</x:v>
      </x:c>
      <x:c r="L13" s="27" t="n">
        <x:v>1000</x:v>
      </x:c>
      <x:c r="M13" s="2"/>
      <x:c r="N13" s="13" t="str">
        <x:f>IF(AND(IF(ISNUMBER(D13),AND(D13&gt;=0,D13&lt;=1000000000000),FALSE),IF(ISNUMBER(E13),AND(E13&gt;=0,E13&lt;=1),FALSE),IF(ISNUMBER(F13),AND(F13&gt;=0,F13&lt;=1000000000000),FALSE),IF(ISNUMBER(G13),AND(G13&gt;=0,G13&lt;=1000000000000),FALSE),IF(ISNUMBER(H13),AND(H13&gt;=0,H13&lt;=1000000000000),FALSE),IF(ISNUMBER(I13),AND(I13&gt;=0,I13&lt;=1000000000000),FALSE),IF(ISNUMBER(J13),AND(J13&gt;=0,J13&lt;=1000000000000),FALSE),IF(ISNUMBER(K13),AND(K13&gt;=0,K13&lt;=1000000000000),FALSE),IF(ISNUMBER(L13),AND(L13&gt;=0,L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27" t="n">
        <x:v>42000</x:v>
      </x:c>
      <x:c r="E14" s="30" t="n">
        <x:v>0.99</x:v>
      </x:c>
      <x:c r="F14" s="27" t="n">
        <x:v>4500</x:v>
      </x:c>
      <x:c r="G14" s="27" t="n">
        <x:v>2000</x:v>
      </x:c>
      <x:c r="H14" s="27" t="n">
        <x:v>2500</x:v>
      </x:c>
      <x:c r="I14" s="27" t="n">
        <x:v>39000</x:v>
      </x:c>
      <x:c r="J14" s="27" t="n">
        <x:v>220000</x:v>
      </x:c>
      <x:c r="K14" s="27" t="n">
        <x:v>30000</x:v>
      </x:c>
      <x:c r="L14" s="27" t="n">
        <x:v>1000</x:v>
      </x:c>
      <x:c r="M14" s="2"/>
      <x:c r="N14" s="13" t="str">
        <x:f>IF(AND(IF(ISNUMBER(D14),AND(D14&gt;=0,D14&lt;=1000000000000),FALSE),IF(ISNUMBER(E14),AND(E14&gt;=0,E14&lt;=1),FALSE),IF(ISNUMBER(F14),AND(F14&gt;=0,F14&lt;=1000000000000),FALSE),IF(ISNUMBER(G14),AND(G14&gt;=0,G14&lt;=1000000000000),FALSE),IF(ISNUMBER(H14),AND(H14&gt;=0,H14&lt;=1000000000000),FALSE),IF(ISNUMBER(I14),AND(I14&gt;=0,I14&lt;=1000000000000),FALSE),IF(ISNUMBER(J14),AND(J14&gt;=0,J14&lt;=1000000000000),FALSE),IF(ISNUMBER(K14),AND(K14&gt;=0,K14&lt;=1000000000000),FALSE),IF(ISNUMBER(L14),AND(L14&gt;=0,L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27" t="n">
        <x:v>42000</x:v>
      </x:c>
      <x:c r="E15" s="30" t="n">
        <x:v>0.99</x:v>
      </x:c>
      <x:c r="F15" s="27" t="n">
        <x:v>4500</x:v>
      </x:c>
      <x:c r="G15" s="27" t="n">
        <x:v>2000</x:v>
      </x:c>
      <x:c r="H15" s="27" t="n">
        <x:v>2500</x:v>
      </x:c>
      <x:c r="I15" s="27" t="n">
        <x:v>39000</x:v>
      </x:c>
      <x:c r="J15" s="27" t="n">
        <x:v>220000</x:v>
      </x:c>
      <x:c r="K15" s="27" t="n">
        <x:v>30000</x:v>
      </x:c>
      <x:c r="L15" s="27" t="n">
        <x:v>1000</x:v>
      </x:c>
      <x:c r="M15" s="2"/>
      <x:c r="N15" s="13" t="str">
        <x:f>IF(AND(IF(ISNUMBER(D15),AND(D15&gt;=0,D15&lt;=1000000000000),FALSE),IF(ISNUMBER(E15),AND(E15&gt;=0,E15&lt;=1),FALSE),IF(ISNUMBER(F15),AND(F15&gt;=0,F15&lt;=1000000000000),FALSE),IF(ISNUMBER(G15),AND(G15&gt;=0,G15&lt;=1000000000000),FALSE),IF(ISNUMBER(H15),AND(H15&gt;=0,H15&lt;=1000000000000),FALSE),IF(ISNUMBER(I15),AND(I15&gt;=0,I15&lt;=1000000000000),FALSE),IF(ISNUMBER(J15),AND(J15&gt;=0,J15&lt;=1000000000000),FALSE),IF(ISNUMBER(K15),AND(K15&gt;=0,K15&lt;=1000000000000),FALSE),IF(ISNUMBER(L15),AND(L15&gt;=0,L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27" t="n">
        <x:v>42000</x:v>
      </x:c>
      <x:c r="E16" s="30" t="n">
        <x:v>0.99</x:v>
      </x:c>
      <x:c r="F16" s="27" t="n">
        <x:v>4500</x:v>
      </x:c>
      <x:c r="G16" s="27" t="n">
        <x:v>2000</x:v>
      </x:c>
      <x:c r="H16" s="27" t="n">
        <x:v>0</x:v>
      </x:c>
      <x:c r="I16" s="27" t="n">
        <x:v>39000</x:v>
      </x:c>
      <x:c r="J16" s="27" t="n">
        <x:v>220000</x:v>
      </x:c>
      <x:c r="K16" s="27" t="n">
        <x:v>30000</x:v>
      </x:c>
      <x:c r="L16" s="27" t="n">
        <x:v>1000</x:v>
      </x:c>
      <x:c r="M16" s="2"/>
      <x:c r="N16" s="13" t="str">
        <x:f>IF(AND(IF(ISNUMBER(D16),AND(D16&gt;=0,D16&lt;=1000000000000),FALSE),IF(ISNUMBER(E16),AND(E16&gt;=0,E16&lt;=1),FALSE),IF(ISNUMBER(F16),AND(F16&gt;=0,F16&lt;=1000000000000),FALSE),IF(ISNUMBER(G16),AND(G16&gt;=0,G16&lt;=1000000000000),FALSE),IF(ISNUMBER(H16),AND(H16&gt;=0,H16&lt;=1000000000000),FALSE),IF(ISNUMBER(I16),AND(I16&gt;=0,I16&lt;=1000000000000),FALSE),IF(ISNUMBER(J16),AND(J16&gt;=0,J16&lt;=1000000000000),FALSE),IF(ISNUMBER(K16),AND(K16&gt;=0,K16&lt;=1000000000000),FALSE),IF(ISNUMBER(L16),AND(L16&gt;=0,L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27" t="n">
        <x:v>42000</x:v>
      </x:c>
      <x:c r="E17" s="30" t="n">
        <x:v>0.99</x:v>
      </x:c>
      <x:c r="F17" s="27" t="n">
        <x:v>4500</x:v>
      </x:c>
      <x:c r="G17" s="27" t="n">
        <x:v>2000</x:v>
      </x:c>
      <x:c r="H17" s="27" t="n">
        <x:v>0</x:v>
      </x:c>
      <x:c r="I17" s="27" t="n">
        <x:v>39000</x:v>
      </x:c>
      <x:c r="J17" s="27" t="n">
        <x:v>220000</x:v>
      </x:c>
      <x:c r="K17" s="27" t="n">
        <x:v>30000</x:v>
      </x:c>
      <x:c r="L17" s="27" t="n">
        <x:v>1000</x:v>
      </x:c>
      <x:c r="M17" s="2"/>
      <x:c r="N17" s="13" t="str">
        <x:f>IF(AND(IF(ISNUMBER(D17),AND(D17&gt;=0,D17&lt;=1000000000000),FALSE),IF(ISNUMBER(E17),AND(E17&gt;=0,E17&lt;=1),FALSE),IF(ISNUMBER(F17),AND(F17&gt;=0,F17&lt;=1000000000000),FALSE),IF(ISNUMBER(G17),AND(G17&gt;=0,G17&lt;=1000000000000),FALSE),IF(ISNUMBER(H17),AND(H17&gt;=0,H17&lt;=1000000000000),FALSE),IF(ISNUMBER(I17),AND(I17&gt;=0,I17&lt;=1000000000000),FALSE),IF(ISNUMBER(J17),AND(J17&gt;=0,J17&lt;=1000000000000),FALSE),IF(ISNUMBER(K17),AND(K17&gt;=0,K17&lt;=1000000000000),FALSE),IF(ISNUMBER(L17),AND(L17&gt;=0,L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27" t="n">
        <x:v>42000</x:v>
      </x:c>
      <x:c r="E18" s="30" t="n">
        <x:v>0.99</x:v>
      </x:c>
      <x:c r="F18" s="27" t="n">
        <x:v>4500</x:v>
      </x:c>
      <x:c r="G18" s="27" t="n">
        <x:v>2000</x:v>
      </x:c>
      <x:c r="H18" s="27" t="n">
        <x:v>0</x:v>
      </x:c>
      <x:c r="I18" s="27" t="n">
        <x:v>39000</x:v>
      </x:c>
      <x:c r="J18" s="27" t="n">
        <x:v>220000</x:v>
      </x:c>
      <x:c r="K18" s="27" t="n">
        <x:v>30000</x:v>
      </x:c>
      <x:c r="L18" s="27" t="n">
        <x:v>1000</x:v>
      </x:c>
      <x:c r="M18" s="2"/>
      <x:c r="N18" s="13" t="str">
        <x:f>IF(AND(IF(ISNUMBER(D18),AND(D18&gt;=0,D18&lt;=1000000000000),FALSE),IF(ISNUMBER(E18),AND(E18&gt;=0,E18&lt;=1),FALSE),IF(ISNUMBER(F18),AND(F18&gt;=0,F18&lt;=1000000000000),FALSE),IF(ISNUMBER(G18),AND(G18&gt;=0,G18&lt;=1000000000000),FALSE),IF(ISNUMBER(H18),AND(H18&gt;=0,H18&lt;=1000000000000),FALSE),IF(ISNUMBER(I18),AND(I18&gt;=0,I18&lt;=1000000000000),FALSE),IF(ISNUMBER(J18),AND(J18&gt;=0,J18&lt;=1000000000000),FALSE),IF(ISNUMBER(K18),AND(K18&gt;=0,K18&lt;=1000000000000),FALSE),IF(ISNUMBER(L18),AND(L18&gt;=0,L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27" t="n">
        <x:v>42000</x:v>
      </x:c>
      <x:c r="E19" s="30" t="n">
        <x:v>0.99</x:v>
      </x:c>
      <x:c r="F19" s="27" t="n">
        <x:v>4500</x:v>
      </x:c>
      <x:c r="G19" s="27" t="n">
        <x:v>2000</x:v>
      </x:c>
      <x:c r="H19" s="27" t="n">
        <x:v>2500</x:v>
      </x:c>
      <x:c r="I19" s="27" t="n">
        <x:v>39000</x:v>
      </x:c>
      <x:c r="J19" s="27" t="n">
        <x:v>220000</x:v>
      </x:c>
      <x:c r="K19" s="27" t="n">
        <x:v>30000</x:v>
      </x:c>
      <x:c r="L19" s="27" t="n">
        <x:v>1000</x:v>
      </x:c>
      <x:c r="M19" s="2"/>
      <x:c r="N19" s="13" t="str">
        <x:f>IF(AND(IF(ISNUMBER(D19),AND(D19&gt;=0,D19&lt;=1000000000000),FALSE),IF(ISNUMBER(E19),AND(E19&gt;=0,E19&lt;=1),FALSE),IF(ISNUMBER(F19),AND(F19&gt;=0,F19&lt;=1000000000000),FALSE),IF(ISNUMBER(G19),AND(G19&gt;=0,G19&lt;=1000000000000),FALSE),IF(ISNUMBER(H19),AND(H19&gt;=0,H19&lt;=1000000000000),FALSE),IF(ISNUMBER(I19),AND(I19&gt;=0,I19&lt;=1000000000000),FALSE),IF(ISNUMBER(J19),AND(J19&gt;=0,J19&lt;=1000000000000),FALSE),IF(ISNUMBER(K19),AND(K19&gt;=0,K19&lt;=1000000000000),FALSE),IF(ISNUMBER(L19),AND(L19&gt;=0,L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27" t="n">
        <x:v>42000</x:v>
      </x:c>
      <x:c r="E20" s="30" t="n">
        <x:v>0.99</x:v>
      </x:c>
      <x:c r="F20" s="27" t="n">
        <x:v>4500</x:v>
      </x:c>
      <x:c r="G20" s="27" t="n">
        <x:v>2000</x:v>
      </x:c>
      <x:c r="H20" s="27" t="n">
        <x:v>2500</x:v>
      </x:c>
      <x:c r="I20" s="27" t="n">
        <x:v>39000</x:v>
      </x:c>
      <x:c r="J20" s="27" t="n">
        <x:v>220000</x:v>
      </x:c>
      <x:c r="K20" s="27" t="n">
        <x:v>30000</x:v>
      </x:c>
      <x:c r="L20" s="27" t="n">
        <x:v>1000</x:v>
      </x:c>
      <x:c r="M20" s="2"/>
      <x:c r="N20" s="13" t="str">
        <x:f>IF(AND(IF(ISNUMBER(D20),AND(D20&gt;=0,D20&lt;=1000000000000),FALSE),IF(ISNUMBER(E20),AND(E20&gt;=0,E20&lt;=1),FALSE),IF(ISNUMBER(F20),AND(F20&gt;=0,F20&lt;=1000000000000),FALSE),IF(ISNUMBER(G20),AND(G20&gt;=0,G20&lt;=1000000000000),FALSE),IF(ISNUMBER(H20),AND(H20&gt;=0,H20&lt;=1000000000000),FALSE),IF(ISNUMBER(I20),AND(I20&gt;=0,I20&lt;=1000000000000),FALSE),IF(ISNUMBER(J20),AND(J20&gt;=0,J20&lt;=1000000000000),FALSE),IF(ISNUMBER(K20),AND(K20&gt;=0,K20&lt;=1000000000000),FALSE),IF(ISNUMBER(L20),AND(L20&gt;=0,L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27" t="n">
        <x:v>42000</x:v>
      </x:c>
      <x:c r="E21" s="30" t="n">
        <x:v>0.99</x:v>
      </x:c>
      <x:c r="F21" s="27" t="n">
        <x:v>4500</x:v>
      </x:c>
      <x:c r="G21" s="27" t="n">
        <x:v>2000</x:v>
      </x:c>
      <x:c r="H21" s="27" t="n">
        <x:v>2500</x:v>
      </x:c>
      <x:c r="I21" s="27" t="n">
        <x:v>39000</x:v>
      </x:c>
      <x:c r="J21" s="27" t="n">
        <x:v>220000</x:v>
      </x:c>
      <x:c r="K21" s="27" t="n">
        <x:v>30000</x:v>
      </x:c>
      <x:c r="L21" s="27" t="n">
        <x:v>1000</x:v>
      </x:c>
      <x:c r="M21" s="2"/>
      <x:c r="N21" s="13" t="str">
        <x:f>IF(AND(IF(ISNUMBER(D21),AND(D21&gt;=0,D21&lt;=1000000000000),FALSE),IF(ISNUMBER(E21),AND(E21&gt;=0,E21&lt;=1),FALSE),IF(ISNUMBER(F21),AND(F21&gt;=0,F21&lt;=1000000000000),FALSE),IF(ISNUMBER(G21),AND(G21&gt;=0,G21&lt;=1000000000000),FALSE),IF(ISNUMBER(H21),AND(H21&gt;=0,H21&lt;=1000000000000),FALSE),IF(ISNUMBER(I21),AND(I21&gt;=0,I21&lt;=1000000000000),FALSE),IF(ISNUMBER(J21),AND(J21&gt;=0,J21&lt;=1000000000000),FALSE),IF(ISNUMBER(K21),AND(K21&gt;=0,K21&lt;=1000000000000),FALSE),IF(ISNUMBER(L21),AND(L21&gt;=0,L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08">
    <x:dataValidation type="decimal" operator="between" sqref="D10">
      <x:formula1>0</x:formula1>
      <x:formula2>1000000000000</x:formula2>
    </x:dataValidation>
    <x:dataValidation type="decimal" operator="between" sqref="E10">
      <x:formula1>0</x:formula1>
      <x:formula2>1</x:formula2>
    </x:dataValidation>
    <x:dataValidation type="decimal" operator="between" sqref="F10">
      <x:formula1>0</x:formula1>
      <x:formula2>1000000000000</x:formula2>
    </x:dataValidation>
    <x:dataValidation type="decimal" operator="between" sqref="G10">
      <x:formula1>0</x:formula1>
      <x:formula2>1000000000000</x:formula2>
    </x:dataValidation>
    <x:dataValidation type="decimal" operator="between" sqref="H10">
      <x:formula1>0</x:formula1>
      <x:formula2>1000000000000</x:formula2>
    </x:dataValidation>
    <x:dataValidation type="decimal" operator="between" sqref="I10">
      <x:formula1>0</x:formula1>
      <x:formula2>1000000000000</x:formula2>
    </x:dataValidation>
    <x:dataValidation type="decimal" operator="between" sqref="J10">
      <x:formula1>0</x:formula1>
      <x:formula2>1000000000000</x:formula2>
    </x:dataValidation>
    <x:dataValidation type="decimal" operator="between" sqref="K10">
      <x:formula1>0</x:formula1>
      <x:formula2>1000000000000</x:formula2>
    </x:dataValidation>
    <x:dataValidation type="decimal" operator="between" sqref="L10">
      <x:formula1>0</x:formula1>
      <x:formula2>1000000000000</x:formula2>
    </x:dataValidation>
    <x:dataValidation type="decimal" operator="between" sqref="D11">
      <x:formula1>0</x:formula1>
      <x:formula2>1000000000000</x:formula2>
    </x:dataValidation>
    <x:dataValidation type="decimal" operator="between" sqref="E11">
      <x:formula1>0</x:formula1>
      <x:formula2>1</x:formula2>
    </x:dataValidation>
    <x:dataValidation type="decimal" operator="between" sqref="F11">
      <x:formula1>0</x:formula1>
      <x:formula2>1000000000000</x:formula2>
    </x:dataValidation>
    <x:dataValidation type="decimal" operator="between" sqref="G11">
      <x:formula1>0</x:formula1>
      <x:formula2>1000000000000</x:formula2>
    </x:dataValidation>
    <x:dataValidation type="decimal" operator="between" sqref="H11">
      <x:formula1>0</x:formula1>
      <x:formula2>1000000000000</x:formula2>
    </x:dataValidation>
    <x:dataValidation type="decimal" operator="between" sqref="I11">
      <x:formula1>0</x:formula1>
      <x:formula2>1000000000000</x:formula2>
    </x:dataValidation>
    <x:dataValidation type="decimal" operator="between" sqref="J11">
      <x:formula1>0</x:formula1>
      <x:formula2>1000000000000</x:formula2>
    </x:dataValidation>
    <x:dataValidation type="decimal" operator="between" sqref="K11">
      <x:formula1>0</x:formula1>
      <x:formula2>1000000000000</x:formula2>
    </x:dataValidation>
    <x:dataValidation type="decimal" operator="between" sqref="L11">
      <x:formula1>0</x:formula1>
      <x:formula2>1000000000000</x:formula2>
    </x:dataValidation>
    <x:dataValidation type="decimal" operator="between" sqref="D12">
      <x:formula1>0</x:formula1>
      <x:formula2>1000000000000</x:formula2>
    </x:dataValidation>
    <x:dataValidation type="decimal" operator="between" sqref="E12">
      <x:formula1>0</x:formula1>
      <x:formula2>1</x:formula2>
    </x:dataValidation>
    <x:dataValidation type="decimal" operator="between" sqref="F12">
      <x:formula1>0</x:formula1>
      <x:formula2>1000000000000</x:formula2>
    </x:dataValidation>
    <x:dataValidation type="decimal" operator="between" sqref="G12">
      <x:formula1>0</x:formula1>
      <x:formula2>1000000000000</x:formula2>
    </x:dataValidation>
    <x:dataValidation type="decimal" operator="between" sqref="H12">
      <x:formula1>0</x:formula1>
      <x:formula2>1000000000000</x:formula2>
    </x:dataValidation>
    <x:dataValidation type="decimal" operator="between" sqref="I12">
      <x:formula1>0</x:formula1>
      <x:formula2>1000000000000</x:formula2>
    </x:dataValidation>
    <x:dataValidation type="decimal" operator="between" sqref="J12">
      <x:formula1>0</x:formula1>
      <x:formula2>1000000000000</x:formula2>
    </x:dataValidation>
    <x:dataValidation type="decimal" operator="between" sqref="K12">
      <x:formula1>0</x:formula1>
      <x:formula2>1000000000000</x:formula2>
    </x:dataValidation>
    <x:dataValidation type="decimal" operator="between" sqref="L12">
      <x:formula1>0</x:formula1>
      <x:formula2>1000000000000</x:formula2>
    </x:dataValidation>
    <x:dataValidation type="decimal" operator="between" sqref="D13">
      <x:formula1>0</x:formula1>
      <x:formula2>1000000000000</x:formula2>
    </x:dataValidation>
    <x:dataValidation type="decimal" operator="between" sqref="E13">
      <x:formula1>0</x:formula1>
      <x:formula2>1</x:formula2>
    </x:dataValidation>
    <x:dataValidation type="decimal" operator="between" sqref="F13">
      <x:formula1>0</x:formula1>
      <x:formula2>1000000000000</x:formula2>
    </x:dataValidation>
    <x:dataValidation type="decimal" operator="between" sqref="G13">
      <x:formula1>0</x:formula1>
      <x:formula2>1000000000000</x:formula2>
    </x:dataValidation>
    <x:dataValidation type="decimal" operator="between" sqref="H13">
      <x:formula1>0</x:formula1>
      <x:formula2>1000000000000</x:formula2>
    </x:dataValidation>
    <x:dataValidation type="decimal" operator="between" sqref="I13">
      <x:formula1>0</x:formula1>
      <x:formula2>1000000000000</x:formula2>
    </x:dataValidation>
    <x:dataValidation type="decimal" operator="between" sqref="J13">
      <x:formula1>0</x:formula1>
      <x:formula2>1000000000000</x:formula2>
    </x:dataValidation>
    <x:dataValidation type="decimal" operator="between" sqref="K13">
      <x:formula1>0</x:formula1>
      <x:formula2>1000000000000</x:formula2>
    </x:dataValidation>
    <x:dataValidation type="decimal" operator="between" sqref="L13">
      <x:formula1>0</x:formula1>
      <x:formula2>1000000000000</x:formula2>
    </x:dataValidation>
    <x:dataValidation type="decimal" operator="between" sqref="D14">
      <x:formula1>0</x:formula1>
      <x:formula2>1000000000000</x:formula2>
    </x:dataValidation>
    <x:dataValidation type="decimal" operator="between" sqref="E14">
      <x:formula1>0</x:formula1>
      <x:formula2>1</x:formula2>
    </x:dataValidation>
    <x:dataValidation type="decimal" operator="between" sqref="F14">
      <x:formula1>0</x:formula1>
      <x:formula2>1000000000000</x:formula2>
    </x:dataValidation>
    <x:dataValidation type="decimal" operator="between" sqref="G14">
      <x:formula1>0</x:formula1>
      <x:formula2>1000000000000</x:formula2>
    </x:dataValidation>
    <x:dataValidation type="decimal" operator="between" sqref="H14">
      <x:formula1>0</x:formula1>
      <x:formula2>1000000000000</x:formula2>
    </x:dataValidation>
    <x:dataValidation type="decimal" operator="between" sqref="I14">
      <x:formula1>0</x:formula1>
      <x:formula2>1000000000000</x:formula2>
    </x:dataValidation>
    <x:dataValidation type="decimal" operator="between" sqref="J14">
      <x:formula1>0</x:formula1>
      <x:formula2>1000000000000</x:formula2>
    </x:dataValidation>
    <x:dataValidation type="decimal" operator="between" sqref="K14">
      <x:formula1>0</x:formula1>
      <x:formula2>1000000000000</x:formula2>
    </x:dataValidation>
    <x:dataValidation type="decimal" operator="between" sqref="L14">
      <x:formula1>0</x:formula1>
      <x:formula2>1000000000000</x:formula2>
    </x:dataValidation>
    <x:dataValidation type="decimal" operator="between" sqref="D15">
      <x:formula1>0</x:formula1>
      <x:formula2>1000000000000</x:formula2>
    </x:dataValidation>
    <x:dataValidation type="decimal" operator="between" sqref="E15">
      <x:formula1>0</x:formula1>
      <x:formula2>1</x:formula2>
    </x:dataValidation>
    <x:dataValidation type="decimal" operator="between" sqref="F15">
      <x:formula1>0</x:formula1>
      <x:formula2>1000000000000</x:formula2>
    </x:dataValidation>
    <x:dataValidation type="decimal" operator="between" sqref="G15">
      <x:formula1>0</x:formula1>
      <x:formula2>1000000000000</x:formula2>
    </x:dataValidation>
    <x:dataValidation type="decimal" operator="between" sqref="H15">
      <x:formula1>0</x:formula1>
      <x:formula2>1000000000000</x:formula2>
    </x:dataValidation>
    <x:dataValidation type="decimal" operator="between" sqref="I15">
      <x:formula1>0</x:formula1>
      <x:formula2>1000000000000</x:formula2>
    </x:dataValidation>
    <x:dataValidation type="decimal" operator="between" sqref="J15">
      <x:formula1>0</x:formula1>
      <x:formula2>1000000000000</x:formula2>
    </x:dataValidation>
    <x:dataValidation type="decimal" operator="between" sqref="K15">
      <x:formula1>0</x:formula1>
      <x:formula2>1000000000000</x:formula2>
    </x:dataValidation>
    <x:dataValidation type="decimal" operator="between" sqref="L15">
      <x:formula1>0</x:formula1>
      <x:formula2>1000000000000</x:formula2>
    </x:dataValidation>
    <x:dataValidation type="decimal" operator="between" sqref="D16">
      <x:formula1>0</x:formula1>
      <x:formula2>1000000000000</x:formula2>
    </x:dataValidation>
    <x:dataValidation type="decimal" operator="between" sqref="E16">
      <x:formula1>0</x:formula1>
      <x:formula2>1</x:formula2>
    </x:dataValidation>
    <x:dataValidation type="decimal" operator="between" sqref="F16">
      <x:formula1>0</x:formula1>
      <x:formula2>1000000000000</x:formula2>
    </x:dataValidation>
    <x:dataValidation type="decimal" operator="between" sqref="G16">
      <x:formula1>0</x:formula1>
      <x:formula2>1000000000000</x:formula2>
    </x:dataValidation>
    <x:dataValidation type="decimal" operator="between" sqref="H16">
      <x:formula1>0</x:formula1>
      <x:formula2>1000000000000</x:formula2>
    </x:dataValidation>
    <x:dataValidation type="decimal" operator="between" sqref="I16">
      <x:formula1>0</x:formula1>
      <x:formula2>1000000000000</x:formula2>
    </x:dataValidation>
    <x:dataValidation type="decimal" operator="between" sqref="J16">
      <x:formula1>0</x:formula1>
      <x:formula2>1000000000000</x:formula2>
    </x:dataValidation>
    <x:dataValidation type="decimal" operator="between" sqref="K16">
      <x:formula1>0</x:formula1>
      <x:formula2>1000000000000</x:formula2>
    </x:dataValidation>
    <x:dataValidation type="decimal" operator="between" sqref="L16">
      <x:formula1>0</x:formula1>
      <x:formula2>1000000000000</x:formula2>
    </x:dataValidation>
    <x:dataValidation type="decimal" operator="between" sqref="D17">
      <x:formula1>0</x:formula1>
      <x:formula2>1000000000000</x:formula2>
    </x:dataValidation>
    <x:dataValidation type="decimal" operator="between" sqref="E17">
      <x:formula1>0</x:formula1>
      <x:formula2>1</x:formula2>
    </x:dataValidation>
    <x:dataValidation type="decimal" operator="between" sqref="F17">
      <x:formula1>0</x:formula1>
      <x:formula2>1000000000000</x:formula2>
    </x:dataValidation>
    <x:dataValidation type="decimal" operator="between" sqref="G17">
      <x:formula1>0</x:formula1>
      <x:formula2>1000000000000</x:formula2>
    </x:dataValidation>
    <x:dataValidation type="decimal" operator="between" sqref="H17">
      <x:formula1>0</x:formula1>
      <x:formula2>1000000000000</x:formula2>
    </x:dataValidation>
    <x:dataValidation type="decimal" operator="between" sqref="I17">
      <x:formula1>0</x:formula1>
      <x:formula2>1000000000000</x:formula2>
    </x:dataValidation>
    <x:dataValidation type="decimal" operator="between" sqref="J17">
      <x:formula1>0</x:formula1>
      <x:formula2>1000000000000</x:formula2>
    </x:dataValidation>
    <x:dataValidation type="decimal" operator="between" sqref="K17">
      <x:formula1>0</x:formula1>
      <x:formula2>1000000000000</x:formula2>
    </x:dataValidation>
    <x:dataValidation type="decimal" operator="between" sqref="L17">
      <x:formula1>0</x:formula1>
      <x:formula2>1000000000000</x:formula2>
    </x:dataValidation>
    <x:dataValidation type="decimal" operator="between" sqref="D18">
      <x:formula1>0</x:formula1>
      <x:formula2>1000000000000</x:formula2>
    </x:dataValidation>
    <x:dataValidation type="decimal" operator="between" sqref="E18">
      <x:formula1>0</x:formula1>
      <x:formula2>1</x:formula2>
    </x:dataValidation>
    <x:dataValidation type="decimal" operator="between" sqref="F18">
      <x:formula1>0</x:formula1>
      <x:formula2>1000000000000</x:formula2>
    </x:dataValidation>
    <x:dataValidation type="decimal" operator="between" sqref="G18">
      <x:formula1>0</x:formula1>
      <x:formula2>1000000000000</x:formula2>
    </x:dataValidation>
    <x:dataValidation type="decimal" operator="between" sqref="H18">
      <x:formula1>0</x:formula1>
      <x:formula2>1000000000000</x:formula2>
    </x:dataValidation>
    <x:dataValidation type="decimal" operator="between" sqref="I18">
      <x:formula1>0</x:formula1>
      <x:formula2>1000000000000</x:formula2>
    </x:dataValidation>
    <x:dataValidation type="decimal" operator="between" sqref="J18">
      <x:formula1>0</x:formula1>
      <x:formula2>1000000000000</x:formula2>
    </x:dataValidation>
    <x:dataValidation type="decimal" operator="between" sqref="K18">
      <x:formula1>0</x:formula1>
      <x:formula2>1000000000000</x:formula2>
    </x:dataValidation>
    <x:dataValidation type="decimal" operator="between" sqref="L18">
      <x:formula1>0</x:formula1>
      <x:formula2>1000000000000</x:formula2>
    </x:dataValidation>
    <x:dataValidation type="decimal" operator="between" sqref="D19">
      <x:formula1>0</x:formula1>
      <x:formula2>1000000000000</x:formula2>
    </x:dataValidation>
    <x:dataValidation type="decimal" operator="between" sqref="E19">
      <x:formula1>0</x:formula1>
      <x:formula2>1</x:formula2>
    </x:dataValidation>
    <x:dataValidation type="decimal" operator="between" sqref="F19">
      <x:formula1>0</x:formula1>
      <x:formula2>1000000000000</x:formula2>
    </x:dataValidation>
    <x:dataValidation type="decimal" operator="between" sqref="G19">
      <x:formula1>0</x:formula1>
      <x:formula2>1000000000000</x:formula2>
    </x:dataValidation>
    <x:dataValidation type="decimal" operator="between" sqref="H19">
      <x:formula1>0</x:formula1>
      <x:formula2>1000000000000</x:formula2>
    </x:dataValidation>
    <x:dataValidation type="decimal" operator="between" sqref="I19">
      <x:formula1>0</x:formula1>
      <x:formula2>1000000000000</x:formula2>
    </x:dataValidation>
    <x:dataValidation type="decimal" operator="between" sqref="J19">
      <x:formula1>0</x:formula1>
      <x:formula2>1000000000000</x:formula2>
    </x:dataValidation>
    <x:dataValidation type="decimal" operator="between" sqref="K19">
      <x:formula1>0</x:formula1>
      <x:formula2>1000000000000</x:formula2>
    </x:dataValidation>
    <x:dataValidation type="decimal" operator="between" sqref="L19">
      <x:formula1>0</x:formula1>
      <x:formula2>1000000000000</x:formula2>
    </x:dataValidation>
    <x:dataValidation type="decimal" operator="between" sqref="D20">
      <x:formula1>0</x:formula1>
      <x:formula2>1000000000000</x:formula2>
    </x:dataValidation>
    <x:dataValidation type="decimal" operator="between" sqref="E20">
      <x:formula1>0</x:formula1>
      <x:formula2>1</x:formula2>
    </x:dataValidation>
    <x:dataValidation type="decimal" operator="between" sqref="F20">
      <x:formula1>0</x:formula1>
      <x:formula2>1000000000000</x:formula2>
    </x:dataValidation>
    <x:dataValidation type="decimal" operator="between" sqref="G20">
      <x:formula1>0</x:formula1>
      <x:formula2>1000000000000</x:formula2>
    </x:dataValidation>
    <x:dataValidation type="decimal" operator="between" sqref="H20">
      <x:formula1>0</x:formula1>
      <x:formula2>1000000000000</x:formula2>
    </x:dataValidation>
    <x:dataValidation type="decimal" operator="between" sqref="I20">
      <x:formula1>0</x:formula1>
      <x:formula2>1000000000000</x:formula2>
    </x:dataValidation>
    <x:dataValidation type="decimal" operator="between" sqref="J20">
      <x:formula1>0</x:formula1>
      <x:formula2>1000000000000</x:formula2>
    </x:dataValidation>
    <x:dataValidation type="decimal" operator="between" sqref="K20">
      <x:formula1>0</x:formula1>
      <x:formula2>1000000000000</x:formula2>
    </x:dataValidation>
    <x:dataValidation type="decimal" operator="between" sqref="L20">
      <x:formula1>0</x:formula1>
      <x:formula2>1000000000000</x:formula2>
    </x:dataValidation>
    <x:dataValidation type="decimal" operator="between" sqref="D21">
      <x:formula1>0</x:formula1>
      <x:formula2>1000000000000</x:formula2>
    </x:dataValidation>
    <x:dataValidation type="decimal" operator="between" sqref="E21">
      <x:formula1>0</x:formula1>
      <x:formula2>1</x:formula2>
    </x:dataValidation>
    <x:dataValidation type="decimal" operator="between" sqref="F21">
      <x:formula1>0</x:formula1>
      <x:formula2>1000000000000</x:formula2>
    </x:dataValidation>
    <x:dataValidation type="decimal" operator="between" sqref="G21">
      <x:formula1>0</x:formula1>
      <x:formula2>1000000000000</x:formula2>
    </x:dataValidation>
    <x:dataValidation type="decimal" operator="between" sqref="H21">
      <x:formula1>0</x:formula1>
      <x:formula2>1000000000000</x:formula2>
    </x:dataValidation>
    <x:dataValidation type="decimal" operator="between" sqref="I21">
      <x:formula1>0</x:formula1>
      <x:formula2>1000000000000</x:formula2>
    </x:dataValidation>
    <x:dataValidation type="decimal" operator="between" sqref="J21">
      <x:formula1>0</x:formula1>
      <x:formula2>1000000000000</x:formula2>
    </x:dataValidation>
    <x:dataValidation type="decimal" operator="between" sqref="K21">
      <x:formula1>0</x:formula1>
      <x:formula2>1000000000000</x:formula2>
    </x:dataValidation>
    <x:dataValidation type="decimal" operator="between" sqref="L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USD unless labeled. Monthly cash convention; capital and debt are below NCF.</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Existing lease rent before expiry</x:v>
      </x:c>
      <x:c r="D10" s="2" t="str">
        <x:v>USD</x:v>
      </x:c>
      <x:c r="E10" s="49" t="n">
        <x:f>IF(COUNT(G10:R10)=12,SUM(G10:R10),"n.a.")</x:f>
        <x:v>249480</x:v>
      </x:c>
      <x:c r="F10" s="2"/>
      <x:c r="G10" s="48" t="n">
        <x:f>IF(AND('Lease Expiry and Owner Cash'!N10="OK"),IF(AND(ISNUMBER('Assumptions'!$D$73),ISNUMBER('Lease Expiry and Owner Cash'!$D$10),ISNUMBER('Lease Expiry and Owner Cash'!$E$10),ISNUMBER('Assumptions'!$D$64)),IF(1&lt;'Assumptions'!$D$73,'Lease Expiry and Owner Cash'!$D$10*'Lease Expiry and Owner Cash'!$E$10*'Assumptions'!$D$64,0),"n.a."),"n.a.")</x:f>
        <x:v>41580</x:v>
      </x:c>
      <x:c r="H10" s="48" t="n">
        <x:f>IF(AND('Lease Expiry and Owner Cash'!N11="OK"),IF(AND(ISNUMBER('Assumptions'!$D$73),ISNUMBER('Lease Expiry and Owner Cash'!$D$11),ISNUMBER('Lease Expiry and Owner Cash'!$E$11),ISNUMBER('Assumptions'!$D$64)),IF(2&lt;'Assumptions'!$D$73,'Lease Expiry and Owner Cash'!$D$11*'Lease Expiry and Owner Cash'!$E$11*'Assumptions'!$D$64,0),"n.a."),"n.a.")</x:f>
        <x:v>41580</x:v>
      </x:c>
      <x:c r="I10" s="48" t="n">
        <x:f>IF(AND('Lease Expiry and Owner Cash'!N12="OK"),IF(AND(ISNUMBER('Assumptions'!$D$73),ISNUMBER('Lease Expiry and Owner Cash'!$D$12),ISNUMBER('Lease Expiry and Owner Cash'!$E$12),ISNUMBER('Assumptions'!$D$64)),IF(3&lt;'Assumptions'!$D$73,'Lease Expiry and Owner Cash'!$D$12*'Lease Expiry and Owner Cash'!$E$12*'Assumptions'!$D$64,0),"n.a."),"n.a.")</x:f>
        <x:v>41580</x:v>
      </x:c>
      <x:c r="J10" s="48" t="n">
        <x:f>IF(AND('Lease Expiry and Owner Cash'!N13="OK"),IF(AND(ISNUMBER('Assumptions'!$D$73),ISNUMBER('Lease Expiry and Owner Cash'!$D$13),ISNUMBER('Lease Expiry and Owner Cash'!$E$13),ISNUMBER('Assumptions'!$D$64)),IF(4&lt;'Assumptions'!$D$73,'Lease Expiry and Owner Cash'!$D$13*'Lease Expiry and Owner Cash'!$E$13*'Assumptions'!$D$64,0),"n.a."),"n.a.")</x:f>
        <x:v>41580</x:v>
      </x:c>
      <x:c r="K10" s="48" t="n">
        <x:f>IF(AND('Lease Expiry and Owner Cash'!N14="OK"),IF(AND(ISNUMBER('Assumptions'!$D$73),ISNUMBER('Lease Expiry and Owner Cash'!$D$14),ISNUMBER('Lease Expiry and Owner Cash'!$E$14),ISNUMBER('Assumptions'!$D$64)),IF(5&lt;'Assumptions'!$D$73,'Lease Expiry and Owner Cash'!$D$14*'Lease Expiry and Owner Cash'!$E$14*'Assumptions'!$D$64,0),"n.a."),"n.a.")</x:f>
        <x:v>41580</x:v>
      </x:c>
      <x:c r="L10" s="48" t="n">
        <x:f>IF(AND('Lease Expiry and Owner Cash'!N15="OK"),IF(AND(ISNUMBER('Assumptions'!$D$73),ISNUMBER('Lease Expiry and Owner Cash'!$D$15),ISNUMBER('Lease Expiry and Owner Cash'!$E$15),ISNUMBER('Assumptions'!$D$64)),IF(6&lt;'Assumptions'!$D$73,'Lease Expiry and Owner Cash'!$D$15*'Lease Expiry and Owner Cash'!$E$15*'Assumptions'!$D$64,0),"n.a."),"n.a.")</x:f>
        <x:v>41580</x:v>
      </x:c>
      <x:c r="M10" s="48" t="n">
        <x:f>IF(AND('Lease Expiry and Owner Cash'!N16="OK"),IF(AND(ISNUMBER('Assumptions'!$D$73),ISNUMBER('Lease Expiry and Owner Cash'!$D$16),ISNUMBER('Lease Expiry and Owner Cash'!$E$16),ISNUMBER('Assumptions'!$D$64)),IF(7&lt;'Assumptions'!$D$73,'Lease Expiry and Owner Cash'!$D$16*'Lease Expiry and Owner Cash'!$E$16*'Assumptions'!$D$64,0),"n.a."),"n.a.")</x:f>
        <x:v>0</x:v>
      </x:c>
      <x:c r="N10" s="48" t="n">
        <x:f>IF(AND('Lease Expiry and Owner Cash'!N17="OK"),IF(AND(ISNUMBER('Assumptions'!$D$73),ISNUMBER('Lease Expiry and Owner Cash'!$D$17),ISNUMBER('Lease Expiry and Owner Cash'!$E$17),ISNUMBER('Assumptions'!$D$64)),IF(8&lt;'Assumptions'!$D$73,'Lease Expiry and Owner Cash'!$D$17*'Lease Expiry and Owner Cash'!$E$17*'Assumptions'!$D$64,0),"n.a."),"n.a.")</x:f>
        <x:v>0</x:v>
      </x:c>
      <x:c r="O10" s="48" t="n">
        <x:f>IF(AND('Lease Expiry and Owner Cash'!N18="OK"),IF(AND(ISNUMBER('Assumptions'!$D$73),ISNUMBER('Lease Expiry and Owner Cash'!$D$18),ISNUMBER('Lease Expiry and Owner Cash'!$E$18),ISNUMBER('Assumptions'!$D$64)),IF(9&lt;'Assumptions'!$D$73,'Lease Expiry and Owner Cash'!$D$18*'Lease Expiry and Owner Cash'!$E$18*'Assumptions'!$D$64,0),"n.a."),"n.a.")</x:f>
        <x:v>0</x:v>
      </x:c>
      <x:c r="P10" s="48" t="n">
        <x:f>IF(AND('Lease Expiry and Owner Cash'!N19="OK"),IF(AND(ISNUMBER('Assumptions'!$D$73),ISNUMBER('Lease Expiry and Owner Cash'!$D$19),ISNUMBER('Lease Expiry and Owner Cash'!$E$19),ISNUMBER('Assumptions'!$D$64)),IF(10&lt;'Assumptions'!$D$73,'Lease Expiry and Owner Cash'!$D$19*'Lease Expiry and Owner Cash'!$E$19*'Assumptions'!$D$64,0),"n.a."),"n.a.")</x:f>
        <x:v>0</x:v>
      </x:c>
      <x:c r="Q10" s="48" t="n">
        <x:f>IF(AND('Lease Expiry and Owner Cash'!N20="OK"),IF(AND(ISNUMBER('Assumptions'!$D$73),ISNUMBER('Lease Expiry and Owner Cash'!$D$20),ISNUMBER('Lease Expiry and Owner Cash'!$E$20),ISNUMBER('Assumptions'!$D$64)),IF(11&lt;'Assumptions'!$D$73,'Lease Expiry and Owner Cash'!$D$20*'Lease Expiry and Owner Cash'!$E$20*'Assumptions'!$D$64,0),"n.a."),"n.a.")</x:f>
        <x:v>0</x:v>
      </x:c>
      <x:c r="R10" s="48" t="n">
        <x:f>IF(AND('Lease Expiry and Owner Cash'!N21="OK"),IF(AND(ISNUMBER('Assumptions'!$D$73),ISNUMBER('Lease Expiry and Owner Cash'!$D$21),ISNUMBER('Lease Expiry and Owner Cash'!$E$21),ISNUMBER('Assumptions'!$D$64)),IF(12&lt;'Assumptions'!$D$73,'Lease Expiry and Owner Cash'!$D$21*'Lease Expiry and Owner Cash'!$E$21*'Assumptions'!$D$64,0),"n.a."),"n.a.")</x:f>
        <x:v>0</x:v>
      </x:c>
    </x:row>
    <x:row r="11" ht="21" customHeight="1">
      <x:c r="A11" s="2"/>
      <x:c r="B11" s="2"/>
      <x:c r="C11" s="2" t="str">
        <x:v>Vacant fraction in monthly convention</x:v>
      </x:c>
      <x:c r="D11" s="2" t="str">
        <x:v>% avg</x:v>
      </x:c>
      <x:c r="E11" s="52" t="n">
        <x:f>IF(COUNT(G11:R11)=12,AVERAGE(G11:R11),"n.a.")</x:f>
        <x:v>0.16666666666666666</x:v>
      </x:c>
      <x:c r="F11" s="2"/>
      <x:c r="G11" s="51" t="n">
        <x:f>IF(AND(ISNUMBER('Assumptions'!$D$73),ISNUMBER('Assumptions'!$D$76)),IF(AND(1&gt;='Assumptions'!$D$73,1&lt;'Assumptions'!$D$73+'Assumptions'!$D$76),1,0),"n.a.")</x:f>
        <x:v>0</x:v>
      </x:c>
      <x:c r="H11" s="51" t="n">
        <x:f>IF(AND(ISNUMBER('Assumptions'!$D$73),ISNUMBER('Assumptions'!$D$76)),IF(AND(2&gt;='Assumptions'!$D$73,2&lt;'Assumptions'!$D$73+'Assumptions'!$D$76),1,0),"n.a.")</x:f>
        <x:v>0</x:v>
      </x:c>
      <x:c r="I11" s="51" t="n">
        <x:f>IF(AND(ISNUMBER('Assumptions'!$D$73),ISNUMBER('Assumptions'!$D$76)),IF(AND(3&gt;='Assumptions'!$D$73,3&lt;'Assumptions'!$D$73+'Assumptions'!$D$76),1,0),"n.a.")</x:f>
        <x:v>0</x:v>
      </x:c>
      <x:c r="J11" s="51" t="n">
        <x:f>IF(AND(ISNUMBER('Assumptions'!$D$73),ISNUMBER('Assumptions'!$D$76)),IF(AND(4&gt;='Assumptions'!$D$73,4&lt;'Assumptions'!$D$73+'Assumptions'!$D$76),1,0),"n.a.")</x:f>
        <x:v>0</x:v>
      </x:c>
      <x:c r="K11" s="51" t="n">
        <x:f>IF(AND(ISNUMBER('Assumptions'!$D$73),ISNUMBER('Assumptions'!$D$76)),IF(AND(5&gt;='Assumptions'!$D$73,5&lt;'Assumptions'!$D$73+'Assumptions'!$D$76),1,0),"n.a.")</x:f>
        <x:v>0</x:v>
      </x:c>
      <x:c r="L11" s="51" t="n">
        <x:f>IF(AND(ISNUMBER('Assumptions'!$D$73),ISNUMBER('Assumptions'!$D$76)),IF(AND(6&gt;='Assumptions'!$D$73,6&lt;'Assumptions'!$D$73+'Assumptions'!$D$76),1,0),"n.a.")</x:f>
        <x:v>0</x:v>
      </x:c>
      <x:c r="M11" s="51" t="n">
        <x:f>IF(AND(ISNUMBER('Assumptions'!$D$73),ISNUMBER('Assumptions'!$D$76)),IF(AND(7&gt;='Assumptions'!$D$73,7&lt;'Assumptions'!$D$73+'Assumptions'!$D$76),1,0),"n.a.")</x:f>
        <x:v>1</x:v>
      </x:c>
      <x:c r="N11" s="51" t="n">
        <x:f>IF(AND(ISNUMBER('Assumptions'!$D$73),ISNUMBER('Assumptions'!$D$76)),IF(AND(8&gt;='Assumptions'!$D$73,8&lt;'Assumptions'!$D$73+'Assumptions'!$D$76),1,0),"n.a.")</x:f>
        <x:v>1</x:v>
      </x:c>
      <x:c r="O11" s="51" t="n">
        <x:f>IF(AND(ISNUMBER('Assumptions'!$D$73),ISNUMBER('Assumptions'!$D$76)),IF(AND(9&gt;='Assumptions'!$D$73,9&lt;'Assumptions'!$D$73+'Assumptions'!$D$76),1,0),"n.a.")</x:f>
        <x:v>0</x:v>
      </x:c>
      <x:c r="P11" s="51" t="n">
        <x:f>IF(AND(ISNUMBER('Assumptions'!$D$73),ISNUMBER('Assumptions'!$D$76)),IF(AND(10&gt;='Assumptions'!$D$73,10&lt;'Assumptions'!$D$73+'Assumptions'!$D$76),1,0),"n.a.")</x:f>
        <x:v>0</x:v>
      </x:c>
      <x:c r="Q11" s="51" t="n">
        <x:f>IF(AND(ISNUMBER('Assumptions'!$D$73),ISNUMBER('Assumptions'!$D$76)),IF(AND(11&gt;='Assumptions'!$D$73,11&lt;'Assumptions'!$D$73+'Assumptions'!$D$76),1,0),"n.a.")</x:f>
        <x:v>0</x:v>
      </x:c>
      <x:c r="R11" s="51" t="n">
        <x:f>IF(AND(ISNUMBER('Assumptions'!$D$73),ISNUMBER('Assumptions'!$D$76)),IF(AND(12&gt;='Assumptions'!$D$73,12&lt;'Assumptions'!$D$73+'Assumptions'!$D$76),1,0),"n.a.")</x:f>
        <x:v>0</x:v>
      </x:c>
    </x:row>
    <x:row r="12" ht="21" customHeight="1">
      <x:c r="A12" s="2"/>
      <x:c r="B12" s="2"/>
      <x:c r="C12" s="2" t="str">
        <x:v>Replacement rent after downtime / free rent</x:v>
      </x:c>
      <x:c r="D12" s="2" t="str">
        <x:v>USD</x:v>
      </x:c>
      <x:c r="E12" s="49" t="n">
        <x:f>IF(COUNT(G12:R12)=12,SUM(G12:R12),"n.a.")</x:f>
        <x:v>117000</x:v>
      </x:c>
      <x:c r="F12" s="2"/>
      <x:c r="G12" s="48" t="n">
        <x:f>IF(AND('Lease Expiry and Owner Cash'!N10="OK"),IF(AND(ISNUMBER('Assumptions'!$D$73),ISNUMBER('Assumptions'!$D$76),ISNUMBER('Assumptions'!$D$79),ISNUMBER('Lease Expiry and Owner Cash'!$I$10),ISNUMBER('Assumptions'!$D$61),ISNUMBER('Assumptions'!$D$64)),IF(1&gt;='Assumptions'!$D$73+'Assumptions'!$D$76+'Assumptions'!$D$79,'Lease Expiry and Owner Cash'!$I$10*MIN(1,'Assumptions'!$D$61)*'Assumptions'!$D$64,0),"n.a."),"n.a.")</x:f>
        <x:v>0</x:v>
      </x:c>
      <x:c r="H12" s="48" t="n">
        <x:f>IF(AND('Lease Expiry and Owner Cash'!N11="OK"),IF(AND(ISNUMBER('Assumptions'!$D$73),ISNUMBER('Assumptions'!$D$76),ISNUMBER('Assumptions'!$D$79),ISNUMBER('Lease Expiry and Owner Cash'!$I$11),ISNUMBER('Assumptions'!$D$61),ISNUMBER('Assumptions'!$D$64)),IF(2&gt;='Assumptions'!$D$73+'Assumptions'!$D$76+'Assumptions'!$D$79,'Lease Expiry and Owner Cash'!$I$11*MIN(1,'Assumptions'!$D$61)*'Assumptions'!$D$64,0),"n.a."),"n.a.")</x:f>
        <x:v>0</x:v>
      </x:c>
      <x:c r="I12" s="48" t="n">
        <x:f>IF(AND('Lease Expiry and Owner Cash'!N12="OK"),IF(AND(ISNUMBER('Assumptions'!$D$73),ISNUMBER('Assumptions'!$D$76),ISNUMBER('Assumptions'!$D$79),ISNUMBER('Lease Expiry and Owner Cash'!$I$12),ISNUMBER('Assumptions'!$D$61),ISNUMBER('Assumptions'!$D$64)),IF(3&gt;='Assumptions'!$D$73+'Assumptions'!$D$76+'Assumptions'!$D$79,'Lease Expiry and Owner Cash'!$I$12*MIN(1,'Assumptions'!$D$61)*'Assumptions'!$D$64,0),"n.a."),"n.a.")</x:f>
        <x:v>0</x:v>
      </x:c>
      <x:c r="J12" s="48" t="n">
        <x:f>IF(AND('Lease Expiry and Owner Cash'!N13="OK"),IF(AND(ISNUMBER('Assumptions'!$D$73),ISNUMBER('Assumptions'!$D$76),ISNUMBER('Assumptions'!$D$79),ISNUMBER('Lease Expiry and Owner Cash'!$I$13),ISNUMBER('Assumptions'!$D$61),ISNUMBER('Assumptions'!$D$64)),IF(4&gt;='Assumptions'!$D$73+'Assumptions'!$D$76+'Assumptions'!$D$79,'Lease Expiry and Owner Cash'!$I$13*MIN(1,'Assumptions'!$D$61)*'Assumptions'!$D$64,0),"n.a."),"n.a.")</x:f>
        <x:v>0</x:v>
      </x:c>
      <x:c r="K12" s="48" t="n">
        <x:f>IF(AND('Lease Expiry and Owner Cash'!N14="OK"),IF(AND(ISNUMBER('Assumptions'!$D$73),ISNUMBER('Assumptions'!$D$76),ISNUMBER('Assumptions'!$D$79),ISNUMBER('Lease Expiry and Owner Cash'!$I$14),ISNUMBER('Assumptions'!$D$61),ISNUMBER('Assumptions'!$D$64)),IF(5&gt;='Assumptions'!$D$73+'Assumptions'!$D$76+'Assumptions'!$D$79,'Lease Expiry and Owner Cash'!$I$14*MIN(1,'Assumptions'!$D$61)*'Assumptions'!$D$64,0),"n.a."),"n.a.")</x:f>
        <x:v>0</x:v>
      </x:c>
      <x:c r="L12" s="48" t="n">
        <x:f>IF(AND('Lease Expiry and Owner Cash'!N15="OK"),IF(AND(ISNUMBER('Assumptions'!$D$73),ISNUMBER('Assumptions'!$D$76),ISNUMBER('Assumptions'!$D$79),ISNUMBER('Lease Expiry and Owner Cash'!$I$15),ISNUMBER('Assumptions'!$D$61),ISNUMBER('Assumptions'!$D$64)),IF(6&gt;='Assumptions'!$D$73+'Assumptions'!$D$76+'Assumptions'!$D$79,'Lease Expiry and Owner Cash'!$I$15*MIN(1,'Assumptions'!$D$61)*'Assumptions'!$D$64,0),"n.a."),"n.a.")</x:f>
        <x:v>0</x:v>
      </x:c>
      <x:c r="M12" s="48" t="n">
        <x:f>IF(AND('Lease Expiry and Owner Cash'!N16="OK"),IF(AND(ISNUMBER('Assumptions'!$D$73),ISNUMBER('Assumptions'!$D$76),ISNUMBER('Assumptions'!$D$79),ISNUMBER('Lease Expiry and Owner Cash'!$I$16),ISNUMBER('Assumptions'!$D$61),ISNUMBER('Assumptions'!$D$64)),IF(7&gt;='Assumptions'!$D$73+'Assumptions'!$D$76+'Assumptions'!$D$79,'Lease Expiry and Owner Cash'!$I$16*MIN(1,'Assumptions'!$D$61)*'Assumptions'!$D$64,0),"n.a."),"n.a.")</x:f>
        <x:v>0</x:v>
      </x:c>
      <x:c r="N12" s="48" t="n">
        <x:f>IF(AND('Lease Expiry and Owner Cash'!N17="OK"),IF(AND(ISNUMBER('Assumptions'!$D$73),ISNUMBER('Assumptions'!$D$76),ISNUMBER('Assumptions'!$D$79),ISNUMBER('Lease Expiry and Owner Cash'!$I$17),ISNUMBER('Assumptions'!$D$61),ISNUMBER('Assumptions'!$D$64)),IF(8&gt;='Assumptions'!$D$73+'Assumptions'!$D$76+'Assumptions'!$D$79,'Lease Expiry and Owner Cash'!$I$17*MIN(1,'Assumptions'!$D$61)*'Assumptions'!$D$64,0),"n.a."),"n.a.")</x:f>
        <x:v>0</x:v>
      </x:c>
      <x:c r="O12" s="48" t="n">
        <x:f>IF(AND('Lease Expiry and Owner Cash'!N18="OK"),IF(AND(ISNUMBER('Assumptions'!$D$73),ISNUMBER('Assumptions'!$D$76),ISNUMBER('Assumptions'!$D$79),ISNUMBER('Lease Expiry and Owner Cash'!$I$18),ISNUMBER('Assumptions'!$D$61),ISNUMBER('Assumptions'!$D$64)),IF(9&gt;='Assumptions'!$D$73+'Assumptions'!$D$76+'Assumptions'!$D$79,'Lease Expiry and Owner Cash'!$I$18*MIN(1,'Assumptions'!$D$61)*'Assumptions'!$D$64,0),"n.a."),"n.a.")</x:f>
        <x:v>0</x:v>
      </x:c>
      <x:c r="P12" s="48" t="n">
        <x:f>IF(AND('Lease Expiry and Owner Cash'!N19="OK"),IF(AND(ISNUMBER('Assumptions'!$D$73),ISNUMBER('Assumptions'!$D$76),ISNUMBER('Assumptions'!$D$79),ISNUMBER('Lease Expiry and Owner Cash'!$I$19),ISNUMBER('Assumptions'!$D$61),ISNUMBER('Assumptions'!$D$64)),IF(10&gt;='Assumptions'!$D$73+'Assumptions'!$D$76+'Assumptions'!$D$79,'Lease Expiry and Owner Cash'!$I$19*MIN(1,'Assumptions'!$D$61)*'Assumptions'!$D$64,0),"n.a."),"n.a.")</x:f>
        <x:v>39000</x:v>
      </x:c>
      <x:c r="Q12" s="48" t="n">
        <x:f>IF(AND('Lease Expiry and Owner Cash'!N20="OK"),IF(AND(ISNUMBER('Assumptions'!$D$73),ISNUMBER('Assumptions'!$D$76),ISNUMBER('Assumptions'!$D$79),ISNUMBER('Lease Expiry and Owner Cash'!$I$20),ISNUMBER('Assumptions'!$D$61),ISNUMBER('Assumptions'!$D$64)),IF(11&gt;='Assumptions'!$D$73+'Assumptions'!$D$76+'Assumptions'!$D$79,'Lease Expiry and Owner Cash'!$I$20*MIN(1,'Assumptions'!$D$61)*'Assumptions'!$D$64,0),"n.a."),"n.a.")</x:f>
        <x:v>39000</x:v>
      </x:c>
      <x:c r="R12" s="48" t="n">
        <x:f>IF(AND('Lease Expiry and Owner Cash'!N21="OK"),IF(AND(ISNUMBER('Assumptions'!$D$73),ISNUMBER('Assumptions'!$D$76),ISNUMBER('Assumptions'!$D$79),ISNUMBER('Lease Expiry and Owner Cash'!$I$21),ISNUMBER('Assumptions'!$D$61),ISNUMBER('Assumptions'!$D$64)),IF(12&gt;='Assumptions'!$D$73+'Assumptions'!$D$76+'Assumptions'!$D$79,'Lease Expiry and Owner Cash'!$I$21*MIN(1,'Assumptions'!$D$61)*'Assumptions'!$D$64,0),"n.a."),"n.a.")</x:f>
        <x:v>39000</x:v>
      </x:c>
    </x:row>
    <x:row r="13" ht="21" customHeight="1">
      <x:c r="A13" s="2"/>
      <x:c r="B13" s="2"/>
      <x:c r="C13" s="58" t="str">
        <x:v>Existing, replacement and recovery cash</x:v>
      </x:c>
      <x:c r="D13" s="58" t="str">
        <x:v>USD</x:v>
      </x:c>
      <x:c r="E13" s="59" t="n">
        <x:f>IF(COUNT(G13:R13)=12,SUM(G13:R13),"n.a.")</x:f>
        <x:v>388980</x:v>
      </x:c>
      <x:c r="F13" s="58"/>
      <x:c r="G13" s="60" t="n">
        <x:f>IF(AND('Lease Expiry and Owner Cash'!N10="OK"),IF(AND(ISNUMBER(G10),ISNUMBER(G12),ISNUMBER('Lease Expiry and Owner Cash'!$H$10)),SUM(G10,G12,'Lease Expiry and Owner Cash'!$H$10),"n.a."),"n.a.")</x:f>
        <x:v>44080</x:v>
      </x:c>
      <x:c r="H13" s="60" t="n">
        <x:f>IF(AND('Lease Expiry and Owner Cash'!N11="OK"),IF(AND(ISNUMBER(H10),ISNUMBER(H12),ISNUMBER('Lease Expiry and Owner Cash'!$H$11)),SUM(H10,H12,'Lease Expiry and Owner Cash'!$H$11),"n.a."),"n.a.")</x:f>
        <x:v>44080</x:v>
      </x:c>
      <x:c r="I13" s="60" t="n">
        <x:f>IF(AND('Lease Expiry and Owner Cash'!N12="OK"),IF(AND(ISNUMBER(I10),ISNUMBER(I12),ISNUMBER('Lease Expiry and Owner Cash'!$H$12)),SUM(I10,I12,'Lease Expiry and Owner Cash'!$H$12),"n.a."),"n.a.")</x:f>
        <x:v>44080</x:v>
      </x:c>
      <x:c r="J13" s="60" t="n">
        <x:f>IF(AND('Lease Expiry and Owner Cash'!N13="OK"),IF(AND(ISNUMBER(J10),ISNUMBER(J12),ISNUMBER('Lease Expiry and Owner Cash'!$H$13)),SUM(J10,J12,'Lease Expiry and Owner Cash'!$H$13),"n.a."),"n.a.")</x:f>
        <x:v>44080</x:v>
      </x:c>
      <x:c r="K13" s="60" t="n">
        <x:f>IF(AND('Lease Expiry and Owner Cash'!N14="OK"),IF(AND(ISNUMBER(K10),ISNUMBER(K12),ISNUMBER('Lease Expiry and Owner Cash'!$H$14)),SUM(K10,K12,'Lease Expiry and Owner Cash'!$H$14),"n.a."),"n.a.")</x:f>
        <x:v>44080</x:v>
      </x:c>
      <x:c r="L13" s="60" t="n">
        <x:f>IF(AND('Lease Expiry and Owner Cash'!N15="OK"),IF(AND(ISNUMBER(L10),ISNUMBER(L12),ISNUMBER('Lease Expiry and Owner Cash'!$H$15)),SUM(L10,L12,'Lease Expiry and Owner Cash'!$H$15),"n.a."),"n.a.")</x:f>
        <x:v>44080</x:v>
      </x:c>
      <x:c r="M13" s="60" t="n">
        <x:f>IF(AND('Lease Expiry and Owner Cash'!N16="OK"),IF(AND(ISNUMBER(M10),ISNUMBER(M12),ISNUMBER('Lease Expiry and Owner Cash'!$H$16)),SUM(M10,M12,'Lease Expiry and Owner Cash'!$H$16),"n.a."),"n.a.")</x:f>
        <x:v>0</x:v>
      </x:c>
      <x:c r="N13" s="60" t="n">
        <x:f>IF(AND('Lease Expiry and Owner Cash'!N17="OK"),IF(AND(ISNUMBER(N10),ISNUMBER(N12),ISNUMBER('Lease Expiry and Owner Cash'!$H$17)),SUM(N10,N12,'Lease Expiry and Owner Cash'!$H$17),"n.a."),"n.a.")</x:f>
        <x:v>0</x:v>
      </x:c>
      <x:c r="O13" s="60" t="n">
        <x:f>IF(AND('Lease Expiry and Owner Cash'!N18="OK"),IF(AND(ISNUMBER(O10),ISNUMBER(O12),ISNUMBER('Lease Expiry and Owner Cash'!$H$18)),SUM(O10,O12,'Lease Expiry and Owner Cash'!$H$18),"n.a."),"n.a.")</x:f>
        <x:v>0</x:v>
      </x:c>
      <x:c r="P13" s="60" t="n">
        <x:f>IF(AND('Lease Expiry and Owner Cash'!N19="OK"),IF(AND(ISNUMBER(P10),ISNUMBER(P12),ISNUMBER('Lease Expiry and Owner Cash'!$H$19)),SUM(P10,P12,'Lease Expiry and Owner Cash'!$H$19),"n.a."),"n.a.")</x:f>
        <x:v>41500</x:v>
      </x:c>
      <x:c r="Q13" s="60" t="n">
        <x:f>IF(AND('Lease Expiry and Owner Cash'!N20="OK"),IF(AND(ISNUMBER(Q10),ISNUMBER(Q12),ISNUMBER('Lease Expiry and Owner Cash'!$H$20)),SUM(Q10,Q12,'Lease Expiry and Owner Cash'!$H$20),"n.a."),"n.a.")</x:f>
        <x:v>41500</x:v>
      </x:c>
      <x:c r="R13" s="60" t="n">
        <x:f>IF(AND('Lease Expiry and Owner Cash'!N21="OK"),IF(AND(ISNUMBER(R10),ISNUMBER(R12),ISNUMBER('Lease Expiry and Owner Cash'!$H$21)),SUM(R10,R12,'Lease Expiry and Owner Cash'!$H$21),"n.a."),"n.a.")</x:f>
        <x:v>41500</x:v>
      </x:c>
    </x:row>
    <x:row r="14" ht="21" customHeight="1">
      <x:c r="A14" s="2"/>
      <x:c r="B14" s="2"/>
      <x:c r="C14" s="2" t="str">
        <x:v>Owner obligations and vacant holding cost</x:v>
      </x:c>
      <x:c r="D14" s="2" t="str">
        <x:v>USD</x:v>
      </x:c>
      <x:c r="E14" s="49" t="n">
        <x:f>IF(COUNT(G14:R14)=12,SUM(G14:R14),"n.a.")</x:f>
        <x:v>33000</x:v>
      </x:c>
      <x:c r="F14" s="2"/>
      <x:c r="G14" s="48" t="n">
        <x:f>IF(AND('Lease Expiry and Owner Cash'!N10="OK"),IF(AND(ISNUMBER('Lease Expiry and Owner Cash'!$G$10),ISNUMBER(G11),ISNUMBER('Lease Expiry and Owner Cash'!$F$10),ISNUMBER('Assumptions'!$D$67)),('Lease Expiry and Owner Cash'!$G$10+G11*'Lease Expiry and Owner Cash'!$F$10)*'Assumptions'!$D$67,"n.a."),"n.a.")</x:f>
        <x:v>2000</x:v>
      </x:c>
      <x:c r="H14" s="48" t="n">
        <x:f>IF(AND('Lease Expiry and Owner Cash'!N11="OK"),IF(AND(ISNUMBER('Lease Expiry and Owner Cash'!$G$11),ISNUMBER(H11),ISNUMBER('Lease Expiry and Owner Cash'!$F$11),ISNUMBER('Assumptions'!$D$67)),('Lease Expiry and Owner Cash'!$G$11+H11*'Lease Expiry and Owner Cash'!$F$11)*'Assumptions'!$D$67,"n.a."),"n.a.")</x:f>
        <x:v>2000</x:v>
      </x:c>
      <x:c r="I14" s="48" t="n">
        <x:f>IF(AND('Lease Expiry and Owner Cash'!N12="OK"),IF(AND(ISNUMBER('Lease Expiry and Owner Cash'!$G$12),ISNUMBER(I11),ISNUMBER('Lease Expiry and Owner Cash'!$F$12),ISNUMBER('Assumptions'!$D$67)),('Lease Expiry and Owner Cash'!$G$12+I11*'Lease Expiry and Owner Cash'!$F$12)*'Assumptions'!$D$67,"n.a."),"n.a.")</x:f>
        <x:v>2000</x:v>
      </x:c>
      <x:c r="J14" s="48" t="n">
        <x:f>IF(AND('Lease Expiry and Owner Cash'!N13="OK"),IF(AND(ISNUMBER('Lease Expiry and Owner Cash'!$G$13),ISNUMBER(J11),ISNUMBER('Lease Expiry and Owner Cash'!$F$13),ISNUMBER('Assumptions'!$D$67)),('Lease Expiry and Owner Cash'!$G$13+J11*'Lease Expiry and Owner Cash'!$F$13)*'Assumptions'!$D$67,"n.a."),"n.a.")</x:f>
        <x:v>2000</x:v>
      </x:c>
      <x:c r="K14" s="48" t="n">
        <x:f>IF(AND('Lease Expiry and Owner Cash'!N14="OK"),IF(AND(ISNUMBER('Lease Expiry and Owner Cash'!$G$14),ISNUMBER(K11),ISNUMBER('Lease Expiry and Owner Cash'!$F$14),ISNUMBER('Assumptions'!$D$67)),('Lease Expiry and Owner Cash'!$G$14+K11*'Lease Expiry and Owner Cash'!$F$14)*'Assumptions'!$D$67,"n.a."),"n.a.")</x:f>
        <x:v>2000</x:v>
      </x:c>
      <x:c r="L14" s="48" t="n">
        <x:f>IF(AND('Lease Expiry and Owner Cash'!N15="OK"),IF(AND(ISNUMBER('Lease Expiry and Owner Cash'!$G$15),ISNUMBER(L11),ISNUMBER('Lease Expiry and Owner Cash'!$F$15),ISNUMBER('Assumptions'!$D$67)),('Lease Expiry and Owner Cash'!$G$15+L11*'Lease Expiry and Owner Cash'!$F$15)*'Assumptions'!$D$67,"n.a."),"n.a.")</x:f>
        <x:v>2000</x:v>
      </x:c>
      <x:c r="M14" s="48" t="n">
        <x:f>IF(AND('Lease Expiry and Owner Cash'!N16="OK"),IF(AND(ISNUMBER('Lease Expiry and Owner Cash'!$G$16),ISNUMBER(M11),ISNUMBER('Lease Expiry and Owner Cash'!$F$16),ISNUMBER('Assumptions'!$D$67)),('Lease Expiry and Owner Cash'!$G$16+M11*'Lease Expiry and Owner Cash'!$F$16)*'Assumptions'!$D$67,"n.a."),"n.a.")</x:f>
        <x:v>6500</x:v>
      </x:c>
      <x:c r="N14" s="48" t="n">
        <x:f>IF(AND('Lease Expiry and Owner Cash'!N17="OK"),IF(AND(ISNUMBER('Lease Expiry and Owner Cash'!$G$17),ISNUMBER(N11),ISNUMBER('Lease Expiry and Owner Cash'!$F$17),ISNUMBER('Assumptions'!$D$67)),('Lease Expiry and Owner Cash'!$G$17+N11*'Lease Expiry and Owner Cash'!$F$17)*'Assumptions'!$D$67,"n.a."),"n.a.")</x:f>
        <x:v>6500</x:v>
      </x:c>
      <x:c r="O14" s="48" t="n">
        <x:f>IF(AND('Lease Expiry and Owner Cash'!N18="OK"),IF(AND(ISNUMBER('Lease Expiry and Owner Cash'!$G$18),ISNUMBER(O11),ISNUMBER('Lease Expiry and Owner Cash'!$F$18),ISNUMBER('Assumptions'!$D$67)),('Lease Expiry and Owner Cash'!$G$18+O11*'Lease Expiry and Owner Cash'!$F$18)*'Assumptions'!$D$67,"n.a."),"n.a.")</x:f>
        <x:v>2000</x:v>
      </x:c>
      <x:c r="P14" s="48" t="n">
        <x:f>IF(AND('Lease Expiry and Owner Cash'!N19="OK"),IF(AND(ISNUMBER('Lease Expiry and Owner Cash'!$G$19),ISNUMBER(P11),ISNUMBER('Lease Expiry and Owner Cash'!$F$19),ISNUMBER('Assumptions'!$D$67)),('Lease Expiry and Owner Cash'!$G$19+P11*'Lease Expiry and Owner Cash'!$F$19)*'Assumptions'!$D$67,"n.a."),"n.a.")</x:f>
        <x:v>2000</x:v>
      </x:c>
      <x:c r="Q14" s="48" t="n">
        <x:f>IF(AND('Lease Expiry and Owner Cash'!N20="OK"),IF(AND(ISNUMBER('Lease Expiry and Owner Cash'!$G$20),ISNUMBER(Q11),ISNUMBER('Lease Expiry and Owner Cash'!$F$20),ISNUMBER('Assumptions'!$D$67)),('Lease Expiry and Owner Cash'!$G$20+Q11*'Lease Expiry and Owner Cash'!$F$20)*'Assumptions'!$D$67,"n.a."),"n.a.")</x:f>
        <x:v>2000</x:v>
      </x:c>
      <x:c r="R14" s="48" t="n">
        <x:f>IF(AND('Lease Expiry and Owner Cash'!N21="OK"),IF(AND(ISNUMBER('Lease Expiry and Owner Cash'!$G$21),ISNUMBER(R11),ISNUMBER('Lease Expiry and Owner Cash'!$F$21),ISNUMBER('Assumptions'!$D$67)),('Lease Expiry and Owner Cash'!$G$21+R11*'Lease Expiry and Owner Cash'!$F$21)*'Assumptions'!$D$67,"n.a."),"n.a.")</x:f>
        <x:v>2000</x:v>
      </x:c>
    </x:row>
    <x:row r="15" ht="21" customHeight="1">
      <x:c r="A15" s="2"/>
      <x:c r="B15" s="2"/>
      <x:c r="C15" s="2" t="str">
        <x:v>Improvement and commission at possession</x:v>
      </x:c>
      <x:c r="D15" s="2" t="str">
        <x:v>USD</x:v>
      </x:c>
      <x:c r="E15" s="49" t="n">
        <x:f>IF(COUNT(G15:R15)=12,SUM(G15:R15),"n.a.")</x:f>
        <x:v>250000</x:v>
      </x:c>
      <x:c r="F15" s="2"/>
      <x:c r="G15" s="48" t="n">
        <x:f>IF(AND('Lease Expiry and Owner Cash'!N10="OK"),IF(AND(ISNUMBER('Assumptions'!$D$73),ISNUMBER('Assumptions'!$D$76),ISNUMBER('Lease Expiry and Owner Cash'!$J$10),ISNUMBER('Lease Expiry and Owner Cash'!$K$10),ISNUMBER('Assumptions'!$D$70)),IF(1='Assumptions'!$D$73+'Assumptions'!$D$76,('Lease Expiry and Owner Cash'!$J$10+'Lease Expiry and Owner Cash'!$K$10)*'Assumptions'!$D$70,0),"n.a."),"n.a.")</x:f>
        <x:v>0</x:v>
      </x:c>
      <x:c r="H15" s="48" t="n">
        <x:f>IF(AND('Lease Expiry and Owner Cash'!N11="OK"),IF(AND(ISNUMBER('Assumptions'!$D$73),ISNUMBER('Assumptions'!$D$76),ISNUMBER('Lease Expiry and Owner Cash'!$J$11),ISNUMBER('Lease Expiry and Owner Cash'!$K$11),ISNUMBER('Assumptions'!$D$70)),IF(2='Assumptions'!$D$73+'Assumptions'!$D$76,('Lease Expiry and Owner Cash'!$J$11+'Lease Expiry and Owner Cash'!$K$11)*'Assumptions'!$D$70,0),"n.a."),"n.a.")</x:f>
        <x:v>0</x:v>
      </x:c>
      <x:c r="I15" s="48" t="n">
        <x:f>IF(AND('Lease Expiry and Owner Cash'!N12="OK"),IF(AND(ISNUMBER('Assumptions'!$D$73),ISNUMBER('Assumptions'!$D$76),ISNUMBER('Lease Expiry and Owner Cash'!$J$12),ISNUMBER('Lease Expiry and Owner Cash'!$K$12),ISNUMBER('Assumptions'!$D$70)),IF(3='Assumptions'!$D$73+'Assumptions'!$D$76,('Lease Expiry and Owner Cash'!$J$12+'Lease Expiry and Owner Cash'!$K$12)*'Assumptions'!$D$70,0),"n.a."),"n.a.")</x:f>
        <x:v>0</x:v>
      </x:c>
      <x:c r="J15" s="48" t="n">
        <x:f>IF(AND('Lease Expiry and Owner Cash'!N13="OK"),IF(AND(ISNUMBER('Assumptions'!$D$73),ISNUMBER('Assumptions'!$D$76),ISNUMBER('Lease Expiry and Owner Cash'!$J$13),ISNUMBER('Lease Expiry and Owner Cash'!$K$13),ISNUMBER('Assumptions'!$D$70)),IF(4='Assumptions'!$D$73+'Assumptions'!$D$76,('Lease Expiry and Owner Cash'!$J$13+'Lease Expiry and Owner Cash'!$K$13)*'Assumptions'!$D$70,0),"n.a."),"n.a.")</x:f>
        <x:v>0</x:v>
      </x:c>
      <x:c r="K15" s="48" t="n">
        <x:f>IF(AND('Lease Expiry and Owner Cash'!N14="OK"),IF(AND(ISNUMBER('Assumptions'!$D$73),ISNUMBER('Assumptions'!$D$76),ISNUMBER('Lease Expiry and Owner Cash'!$J$14),ISNUMBER('Lease Expiry and Owner Cash'!$K$14),ISNUMBER('Assumptions'!$D$70)),IF(5='Assumptions'!$D$73+'Assumptions'!$D$76,('Lease Expiry and Owner Cash'!$J$14+'Lease Expiry and Owner Cash'!$K$14)*'Assumptions'!$D$70,0),"n.a."),"n.a.")</x:f>
        <x:v>0</x:v>
      </x:c>
      <x:c r="L15" s="48" t="n">
        <x:f>IF(AND('Lease Expiry and Owner Cash'!N15="OK"),IF(AND(ISNUMBER('Assumptions'!$D$73),ISNUMBER('Assumptions'!$D$76),ISNUMBER('Lease Expiry and Owner Cash'!$J$15),ISNUMBER('Lease Expiry and Owner Cash'!$K$15),ISNUMBER('Assumptions'!$D$70)),IF(6='Assumptions'!$D$73+'Assumptions'!$D$76,('Lease Expiry and Owner Cash'!$J$15+'Lease Expiry and Owner Cash'!$K$15)*'Assumptions'!$D$70,0),"n.a."),"n.a.")</x:f>
        <x:v>0</x:v>
      </x:c>
      <x:c r="M15" s="48" t="n">
        <x:f>IF(AND('Lease Expiry and Owner Cash'!N16="OK"),IF(AND(ISNUMBER('Assumptions'!$D$73),ISNUMBER('Assumptions'!$D$76),ISNUMBER('Lease Expiry and Owner Cash'!$J$16),ISNUMBER('Lease Expiry and Owner Cash'!$K$16),ISNUMBER('Assumptions'!$D$70)),IF(7='Assumptions'!$D$73+'Assumptions'!$D$76,('Lease Expiry and Owner Cash'!$J$16+'Lease Expiry and Owner Cash'!$K$16)*'Assumptions'!$D$70,0),"n.a."),"n.a.")</x:f>
        <x:v>0</x:v>
      </x:c>
      <x:c r="N15" s="48" t="n">
        <x:f>IF(AND('Lease Expiry and Owner Cash'!N17="OK"),IF(AND(ISNUMBER('Assumptions'!$D$73),ISNUMBER('Assumptions'!$D$76),ISNUMBER('Lease Expiry and Owner Cash'!$J$17),ISNUMBER('Lease Expiry and Owner Cash'!$K$17),ISNUMBER('Assumptions'!$D$70)),IF(8='Assumptions'!$D$73+'Assumptions'!$D$76,('Lease Expiry and Owner Cash'!$J$17+'Lease Expiry and Owner Cash'!$K$17)*'Assumptions'!$D$70,0),"n.a."),"n.a.")</x:f>
        <x:v>0</x:v>
      </x:c>
      <x:c r="O15" s="48" t="n">
        <x:f>IF(AND('Lease Expiry and Owner Cash'!N18="OK"),IF(AND(ISNUMBER('Assumptions'!$D$73),ISNUMBER('Assumptions'!$D$76),ISNUMBER('Lease Expiry and Owner Cash'!$J$18),ISNUMBER('Lease Expiry and Owner Cash'!$K$18),ISNUMBER('Assumptions'!$D$70)),IF(9='Assumptions'!$D$73+'Assumptions'!$D$76,('Lease Expiry and Owner Cash'!$J$18+'Lease Expiry and Owner Cash'!$K$18)*'Assumptions'!$D$70,0),"n.a."),"n.a.")</x:f>
        <x:v>250000</x:v>
      </x:c>
      <x:c r="P15" s="48" t="n">
        <x:f>IF(AND('Lease Expiry and Owner Cash'!N19="OK"),IF(AND(ISNUMBER('Assumptions'!$D$73),ISNUMBER('Assumptions'!$D$76),ISNUMBER('Lease Expiry and Owner Cash'!$J$19),ISNUMBER('Lease Expiry and Owner Cash'!$K$19),ISNUMBER('Assumptions'!$D$70)),IF(10='Assumptions'!$D$73+'Assumptions'!$D$76,('Lease Expiry and Owner Cash'!$J$19+'Lease Expiry and Owner Cash'!$K$19)*'Assumptions'!$D$70,0),"n.a."),"n.a.")</x:f>
        <x:v>0</x:v>
      </x:c>
      <x:c r="Q15" s="48" t="n">
        <x:f>IF(AND('Lease Expiry and Owner Cash'!N20="OK"),IF(AND(ISNUMBER('Assumptions'!$D$73),ISNUMBER('Assumptions'!$D$76),ISNUMBER('Lease Expiry and Owner Cash'!$J$20),ISNUMBER('Lease Expiry and Owner Cash'!$K$20),ISNUMBER('Assumptions'!$D$70)),IF(11='Assumptions'!$D$73+'Assumptions'!$D$76,('Lease Expiry and Owner Cash'!$J$20+'Lease Expiry and Owner Cash'!$K$20)*'Assumptions'!$D$70,0),"n.a."),"n.a.")</x:f>
        <x:v>0</x:v>
      </x:c>
      <x:c r="R15" s="48" t="n">
        <x:f>IF(AND('Lease Expiry and Owner Cash'!N21="OK"),IF(AND(ISNUMBER('Assumptions'!$D$73),ISNUMBER('Assumptions'!$D$76),ISNUMBER('Lease Expiry and Owner Cash'!$J$21),ISNUMBER('Lease Expiry and Owner Cash'!$K$21),ISNUMBER('Assumptions'!$D$70)),IF(12='Assumptions'!$D$73+'Assumptions'!$D$76,('Lease Expiry and Owner Cash'!$J$21+'Lease Expiry and Owner Cash'!$K$21)*'Assumptions'!$D$70,0),"n.a."),"n.a.")</x:f>
        <x:v>0</x:v>
      </x:c>
    </x:row>
    <x:row r="16" ht="21" customHeight="1">
      <x:c r="A16" s="2"/>
      <x:c r="B16" s="2"/>
      <x:c r="C16" s="2" t="str">
        <x:v>New-lease and other owner capital</x:v>
      </x:c>
      <x:c r="D16" s="2" t="str">
        <x:v>USD</x:v>
      </x:c>
      <x:c r="E16" s="49" t="n">
        <x:f>IF(COUNT(G16:R16)=12,SUM(G16:R16),"n.a.")</x:f>
        <x:v>306000</x:v>
      </x:c>
      <x:c r="F16" s="2"/>
      <x:c r="G16" s="48" t="n">
        <x:f>IF(AND('Lease Expiry and Owner Cash'!N10="OK"),IF(AND(ISNUMBER(G15),ISNUMBER('Lease Expiry and Owner Cash'!$L$10),ISNUMBER('Assumptions'!$D$70)),G15+'Lease Expiry and Owner Cash'!$L$10*'Assumptions'!$D$70,"n.a."),"n.a.")</x:f>
        <x:v>1000</x:v>
      </x:c>
      <x:c r="H16" s="48" t="n">
        <x:f>IF(AND('Lease Expiry and Owner Cash'!N11="OK"),IF(AND(ISNUMBER(H15),ISNUMBER('Lease Expiry and Owner Cash'!$L$11),ISNUMBER('Assumptions'!$D$70)),H15+'Lease Expiry and Owner Cash'!$L$11*'Assumptions'!$D$70,"n.a."),"n.a.")</x:f>
        <x:v>1000</x:v>
      </x:c>
      <x:c r="I16" s="48" t="n">
        <x:f>IF(AND('Lease Expiry and Owner Cash'!N12="OK"),IF(AND(ISNUMBER(I15),ISNUMBER('Lease Expiry and Owner Cash'!$L$12),ISNUMBER('Assumptions'!$D$70)),I15+'Lease Expiry and Owner Cash'!$L$12*'Assumptions'!$D$70,"n.a."),"n.a.")</x:f>
        <x:v>45000</x:v>
      </x:c>
      <x:c r="J16" s="48" t="n">
        <x:f>IF(AND('Lease Expiry and Owner Cash'!N13="OK"),IF(AND(ISNUMBER(J15),ISNUMBER('Lease Expiry and Owner Cash'!$L$13),ISNUMBER('Assumptions'!$D$70)),J15+'Lease Expiry and Owner Cash'!$L$13*'Assumptions'!$D$70,"n.a."),"n.a.")</x:f>
        <x:v>1000</x:v>
      </x:c>
      <x:c r="K16" s="48" t="n">
        <x:f>IF(AND('Lease Expiry and Owner Cash'!N14="OK"),IF(AND(ISNUMBER(K15),ISNUMBER('Lease Expiry and Owner Cash'!$L$14),ISNUMBER('Assumptions'!$D$70)),K15+'Lease Expiry and Owner Cash'!$L$14*'Assumptions'!$D$70,"n.a."),"n.a.")</x:f>
        <x:v>1000</x:v>
      </x:c>
      <x:c r="L16" s="48" t="n">
        <x:f>IF(AND('Lease Expiry and Owner Cash'!N15="OK"),IF(AND(ISNUMBER(L15),ISNUMBER('Lease Expiry and Owner Cash'!$L$15),ISNUMBER('Assumptions'!$D$70)),L15+'Lease Expiry and Owner Cash'!$L$15*'Assumptions'!$D$70,"n.a."),"n.a.")</x:f>
        <x:v>1000</x:v>
      </x:c>
      <x:c r="M16" s="48" t="n">
        <x:f>IF(AND('Lease Expiry and Owner Cash'!N16="OK"),IF(AND(ISNUMBER(M15),ISNUMBER('Lease Expiry and Owner Cash'!$L$16),ISNUMBER('Assumptions'!$D$70)),M15+'Lease Expiry and Owner Cash'!$L$16*'Assumptions'!$D$70,"n.a."),"n.a.")</x:f>
        <x:v>1000</x:v>
      </x:c>
      <x:c r="N16" s="48" t="n">
        <x:f>IF(AND('Lease Expiry and Owner Cash'!N17="OK"),IF(AND(ISNUMBER(N15),ISNUMBER('Lease Expiry and Owner Cash'!$L$17),ISNUMBER('Assumptions'!$D$70)),N15+'Lease Expiry and Owner Cash'!$L$17*'Assumptions'!$D$70,"n.a."),"n.a.")</x:f>
        <x:v>1000</x:v>
      </x:c>
      <x:c r="O16" s="48" t="n">
        <x:f>IF(AND('Lease Expiry and Owner Cash'!N18="OK"),IF(AND(ISNUMBER(O15),ISNUMBER('Lease Expiry and Owner Cash'!$L$18),ISNUMBER('Assumptions'!$D$70)),O15+'Lease Expiry and Owner Cash'!$L$18*'Assumptions'!$D$70,"n.a."),"n.a.")</x:f>
        <x:v>251000</x:v>
      </x:c>
      <x:c r="P16" s="48" t="n">
        <x:f>IF(AND('Lease Expiry and Owner Cash'!N19="OK"),IF(AND(ISNUMBER(P15),ISNUMBER('Lease Expiry and Owner Cash'!$L$19),ISNUMBER('Assumptions'!$D$70)),P15+'Lease Expiry and Owner Cash'!$L$19*'Assumptions'!$D$70,"n.a."),"n.a.")</x:f>
        <x:v>1000</x:v>
      </x:c>
      <x:c r="Q16" s="48" t="n">
        <x:f>IF(AND('Lease Expiry and Owner Cash'!N20="OK"),IF(AND(ISNUMBER(Q15),ISNUMBER('Lease Expiry and Owner Cash'!$L$20),ISNUMBER('Assumptions'!$D$70)),Q15+'Lease Expiry and Owner Cash'!$L$20*'Assumptions'!$D$70,"n.a."),"n.a.")</x:f>
        <x:v>1000</x:v>
      </x:c>
      <x:c r="R16" s="48" t="n">
        <x:f>IF(AND('Lease Expiry and Owner Cash'!N21="OK"),IF(AND(ISNUMBER(R15),ISNUMBER('Lease Expiry and Owner Cash'!$L$21),ISNUMBER('Assumptions'!$D$70)),R15+'Lease Expiry and Owner Cash'!$L$21*'Assumptions'!$D$70,"n.a."),"n.a.")</x:f>
        <x:v>1000</x:v>
      </x:c>
    </x:row>
    <x:row r="17" ht="21" customHeight="1">
      <x:c r="A17" s="2"/>
      <x:c r="B17" s="2"/>
      <x:c r="C17" s="2" t="str">
        <x:v>Fixed property / entity costs</x:v>
      </x:c>
      <x:c r="D17" s="2" t="str">
        <x:v>USD</x:v>
      </x:c>
      <x:c r="E17" s="49" t="n">
        <x:f>IF(COUNT(G17:R17)=12,SUM(G17:R17),"n.a.")</x:f>
        <x:v>45000</x:v>
      </x:c>
      <x:c r="F17" s="2"/>
      <x:c r="G17" s="48" t="n">
        <x:f>IF(AND(ISNUMBER('Assumptions'!$D$55)),'Assumptions'!$D$55/12,"n.a.")</x:f>
        <x:v>3750</x:v>
      </x:c>
      <x:c r="H17" s="48" t="n">
        <x:f>IF(AND(ISNUMBER('Assumptions'!$D$55)),'Assumptions'!$D$55/12,"n.a.")</x:f>
        <x:v>3750</x:v>
      </x:c>
      <x:c r="I17" s="48" t="n">
        <x:f>IF(AND(ISNUMBER('Assumptions'!$D$55)),'Assumptions'!$D$55/12,"n.a.")</x:f>
        <x:v>3750</x:v>
      </x:c>
      <x:c r="J17" s="48" t="n">
        <x:f>IF(AND(ISNUMBER('Assumptions'!$D$55)),'Assumptions'!$D$55/12,"n.a.")</x:f>
        <x:v>3750</x:v>
      </x:c>
      <x:c r="K17" s="48" t="n">
        <x:f>IF(AND(ISNUMBER('Assumptions'!$D$55)),'Assumptions'!$D$55/12,"n.a.")</x:f>
        <x:v>3750</x:v>
      </x:c>
      <x:c r="L17" s="48" t="n">
        <x:f>IF(AND(ISNUMBER('Assumptions'!$D$55)),'Assumptions'!$D$55/12,"n.a.")</x:f>
        <x:v>3750</x:v>
      </x:c>
      <x:c r="M17" s="48" t="n">
        <x:f>IF(AND(ISNUMBER('Assumptions'!$D$55)),'Assumptions'!$D$55/12,"n.a.")</x:f>
        <x:v>3750</x:v>
      </x:c>
      <x:c r="N17" s="48" t="n">
        <x:f>IF(AND(ISNUMBER('Assumptions'!$D$55)),'Assumptions'!$D$55/12,"n.a.")</x:f>
        <x:v>3750</x:v>
      </x:c>
      <x:c r="O17" s="48" t="n">
        <x:f>IF(AND(ISNUMBER('Assumptions'!$D$55)),'Assumptions'!$D$55/12,"n.a.")</x:f>
        <x:v>3750</x:v>
      </x:c>
      <x:c r="P17" s="48" t="n">
        <x:f>IF(AND(ISNUMBER('Assumptions'!$D$55)),'Assumptions'!$D$55/12,"n.a.")</x:f>
        <x:v>3750</x:v>
      </x:c>
      <x:c r="Q17" s="48" t="n">
        <x:f>IF(AND(ISNUMBER('Assumptions'!$D$55)),'Assumptions'!$D$55/12,"n.a.")</x:f>
        <x:v>3750</x:v>
      </x:c>
      <x:c r="R17" s="48" t="n">
        <x:f>IF(AND(ISNUMBER('Assumptions'!$D$55)),'Assumptions'!$D$55/12,"n.a.")</x:f>
        <x:v>3750</x:v>
      </x:c>
    </x:row>
    <x:row r="18" ht="21" customHeight="1">
      <x:c r="A18" s="2"/>
      <x:c r="B18" s="2"/>
      <x:c r="C18" s="58" t="str">
        <x:v>Total cash operating costs</x:v>
      </x:c>
      <x:c r="D18" s="58" t="str">
        <x:v>USD</x:v>
      </x:c>
      <x:c r="E18" s="59" t="n">
        <x:f>IF(COUNT(G18:R18)=12,SUM(G18:R18),"n.a.")</x:f>
        <x:v>78000</x:v>
      </x:c>
      <x:c r="F18" s="58"/>
      <x:c r="G18" s="59" t="n">
        <x:f>IF(AND(ISNUMBER(G14),ISNUMBER(G17)),G14+G17,"n.a.")</x:f>
        <x:v>5750</x:v>
      </x:c>
      <x:c r="H18" s="59" t="n">
        <x:f>IF(AND(ISNUMBER(H14),ISNUMBER(H17)),H14+H17,"n.a.")</x:f>
        <x:v>5750</x:v>
      </x:c>
      <x:c r="I18" s="59" t="n">
        <x:f>IF(AND(ISNUMBER(I14),ISNUMBER(I17)),I14+I17,"n.a.")</x:f>
        <x:v>5750</x:v>
      </x:c>
      <x:c r="J18" s="59" t="n">
        <x:f>IF(AND(ISNUMBER(J14),ISNUMBER(J17)),J14+J17,"n.a.")</x:f>
        <x:v>5750</x:v>
      </x:c>
      <x:c r="K18" s="59" t="n">
        <x:f>IF(AND(ISNUMBER(K14),ISNUMBER(K17)),K14+K17,"n.a.")</x:f>
        <x:v>5750</x:v>
      </x:c>
      <x:c r="L18" s="59" t="n">
        <x:f>IF(AND(ISNUMBER(L14),ISNUMBER(L17)),L14+L17,"n.a.")</x:f>
        <x:v>5750</x:v>
      </x:c>
      <x:c r="M18" s="59" t="n">
        <x:f>IF(AND(ISNUMBER(M14),ISNUMBER(M17)),M14+M17,"n.a.")</x:f>
        <x:v>10250</x:v>
      </x:c>
      <x:c r="N18" s="59" t="n">
        <x:f>IF(AND(ISNUMBER(N14),ISNUMBER(N17)),N14+N17,"n.a.")</x:f>
        <x:v>10250</x:v>
      </x:c>
      <x:c r="O18" s="59" t="n">
        <x:f>IF(AND(ISNUMBER(O14),ISNUMBER(O17)),O14+O17,"n.a.")</x:f>
        <x:v>5750</x:v>
      </x:c>
      <x:c r="P18" s="59" t="n">
        <x:f>IF(AND(ISNUMBER(P14),ISNUMBER(P17)),P14+P17,"n.a.")</x:f>
        <x:v>5750</x:v>
      </x:c>
      <x:c r="Q18" s="59" t="n">
        <x:f>IF(AND(ISNUMBER(Q14),ISNUMBER(Q17)),Q14+Q17,"n.a.")</x:f>
        <x:v>5750</x:v>
      </x:c>
      <x:c r="R18" s="59" t="n">
        <x:f>IF(AND(ISNUMBER(R14),ISNUMBER(R17)),R14+R17,"n.a.")</x:f>
        <x:v>5750</x:v>
      </x:c>
    </x:row>
    <x:row r="19" ht="21" customHeight="1">
      <x:c r="A19" s="2"/>
      <x:c r="B19" s="2"/>
      <x:c r="C19" s="58" t="str">
        <x:v>NOI / operating cash before reserves</x:v>
      </x:c>
      <x:c r="D19" s="58" t="str">
        <x:v>USD</x:v>
      </x:c>
      <x:c r="E19" s="59" t="n">
        <x:f>IF(COUNT(G19:R19)=12,SUM(G19:R19),"n.a.")</x:f>
        <x:v>310980</x:v>
      </x:c>
      <x:c r="F19" s="58"/>
      <x:c r="G19" s="59" t="n">
        <x:f>IF(AND(ISNUMBER(G13),ISNUMBER(G18)),G13-G18,"n.a.")</x:f>
        <x:v>38330</x:v>
      </x:c>
      <x:c r="H19" s="59" t="n">
        <x:f>IF(AND(ISNUMBER(H13),ISNUMBER(H18)),H13-H18,"n.a.")</x:f>
        <x:v>38330</x:v>
      </x:c>
      <x:c r="I19" s="59" t="n">
        <x:f>IF(AND(ISNUMBER(I13),ISNUMBER(I18)),I13-I18,"n.a.")</x:f>
        <x:v>38330</x:v>
      </x:c>
      <x:c r="J19" s="59" t="n">
        <x:f>IF(AND(ISNUMBER(J13),ISNUMBER(J18)),J13-J18,"n.a.")</x:f>
        <x:v>38330</x:v>
      </x:c>
      <x:c r="K19" s="59" t="n">
        <x:f>IF(AND(ISNUMBER(K13),ISNUMBER(K18)),K13-K18,"n.a.")</x:f>
        <x:v>38330</x:v>
      </x:c>
      <x:c r="L19" s="59" t="n">
        <x:f>IF(AND(ISNUMBER(L13),ISNUMBER(L18)),L13-L18,"n.a.")</x:f>
        <x:v>38330</x:v>
      </x:c>
      <x:c r="M19" s="59" t="n">
        <x:f>IF(AND(ISNUMBER(M13),ISNUMBER(M18)),M13-M18,"n.a.")</x:f>
        <x:v>-10250</x:v>
      </x:c>
      <x:c r="N19" s="59" t="n">
        <x:f>IF(AND(ISNUMBER(N13),ISNUMBER(N18)),N13-N18,"n.a.")</x:f>
        <x:v>-10250</x:v>
      </x:c>
      <x:c r="O19" s="59" t="n">
        <x:f>IF(AND(ISNUMBER(O13),ISNUMBER(O18)),O13-O18,"n.a.")</x:f>
        <x:v>-5750</x:v>
      </x:c>
      <x:c r="P19" s="59" t="n">
        <x:f>IF(AND(ISNUMBER(P13),ISNUMBER(P18)),P13-P18,"n.a.")</x:f>
        <x:v>35750</x:v>
      </x:c>
      <x:c r="Q19" s="59" t="n">
        <x:f>IF(AND(ISNUMBER(Q13),ISNUMBER(Q18)),Q13-Q18,"n.a.")</x:f>
        <x:v>35750</x:v>
      </x:c>
      <x:c r="R19" s="59" t="n">
        <x:f>IF(AND(ISNUMBER(R13),ISNUMBER(R18)),R13-R18,"n.a.")</x:f>
        <x:v>35750</x:v>
      </x:c>
    </x:row>
    <x:row r="20" ht="21" customHeight="1">
      <x:c r="A20" s="2"/>
      <x:c r="B20" s="2"/>
      <x:c r="C20" s="2" t="str">
        <x:v>Cash replacement reserve deposits</x:v>
      </x:c>
      <x:c r="D20" s="2" t="str">
        <x:v>USD</x:v>
      </x:c>
      <x:c r="E20" s="49" t="n">
        <x:f>IF(COUNT(G20:R20)=12,SUM(G20:R20),"n.a.")</x:f>
        <x:v>11669.399999999998</x:v>
      </x:c>
      <x:c r="F20" s="2"/>
      <x:c r="G20" s="48" t="n">
        <x:f>IF(AND(ISNUMBER(G13),ISNUMBER('Assumptions'!$D$58)),MAX(0,G13)*'Assumptions'!$D$58,"n.a.")</x:f>
        <x:v>1322.3999999999999</x:v>
      </x:c>
      <x:c r="H20" s="48" t="n">
        <x:f>IF(AND(ISNUMBER(H13),ISNUMBER('Assumptions'!$D$58)),MAX(0,H13)*'Assumptions'!$D$58,"n.a.")</x:f>
        <x:v>1322.3999999999999</x:v>
      </x:c>
      <x:c r="I20" s="48" t="n">
        <x:f>IF(AND(ISNUMBER(I13),ISNUMBER('Assumptions'!$D$58)),MAX(0,I13)*'Assumptions'!$D$58,"n.a.")</x:f>
        <x:v>1322.3999999999999</x:v>
      </x:c>
      <x:c r="J20" s="48" t="n">
        <x:f>IF(AND(ISNUMBER(J13),ISNUMBER('Assumptions'!$D$58)),MAX(0,J13)*'Assumptions'!$D$58,"n.a.")</x:f>
        <x:v>1322.3999999999999</x:v>
      </x:c>
      <x:c r="K20" s="48" t="n">
        <x:f>IF(AND(ISNUMBER(K13),ISNUMBER('Assumptions'!$D$58)),MAX(0,K13)*'Assumptions'!$D$58,"n.a.")</x:f>
        <x:v>1322.3999999999999</x:v>
      </x:c>
      <x:c r="L20" s="48" t="n">
        <x:f>IF(AND(ISNUMBER(L13),ISNUMBER('Assumptions'!$D$58)),MAX(0,L13)*'Assumptions'!$D$58,"n.a.")</x:f>
        <x:v>1322.3999999999999</x:v>
      </x:c>
      <x:c r="M20" s="48" t="n">
        <x:f>IF(AND(ISNUMBER(M13),ISNUMBER('Assumptions'!$D$58)),MAX(0,M13)*'Assumptions'!$D$58,"n.a.")</x:f>
        <x:v>0</x:v>
      </x:c>
      <x:c r="N20" s="48" t="n">
        <x:f>IF(AND(ISNUMBER(N13),ISNUMBER('Assumptions'!$D$58)),MAX(0,N13)*'Assumptions'!$D$58,"n.a.")</x:f>
        <x:v>0</x:v>
      </x:c>
      <x:c r="O20" s="48" t="n">
        <x:f>IF(AND(ISNUMBER(O13),ISNUMBER('Assumptions'!$D$58)),MAX(0,O13)*'Assumptions'!$D$58,"n.a.")</x:f>
        <x:v>0</x:v>
      </x:c>
      <x:c r="P20" s="48" t="n">
        <x:f>IF(AND(ISNUMBER(P13),ISNUMBER('Assumptions'!$D$58)),MAX(0,P13)*'Assumptions'!$D$58,"n.a.")</x:f>
        <x:v>1245</x:v>
      </x:c>
      <x:c r="Q20" s="48" t="n">
        <x:f>IF(AND(ISNUMBER(Q13),ISNUMBER('Assumptions'!$D$58)),MAX(0,Q13)*'Assumptions'!$D$58,"n.a.")</x:f>
        <x:v>1245</x:v>
      </x:c>
      <x:c r="R20" s="48" t="n">
        <x:f>IF(AND(ISNUMBER(R13),ISNUMBER('Assumptions'!$D$58)),MAX(0,R13)*'Assumptions'!$D$58,"n.a.")</x:f>
        <x:v>1245</x:v>
      </x:c>
    </x:row>
    <x:row r="21" ht="21" customHeight="1">
      <x:c r="A21" s="2"/>
      <x:c r="B21" s="2"/>
      <x:c r="C21" s="58" t="str">
        <x:v>Cash NCF before property debt / capital</x:v>
      </x:c>
      <x:c r="D21" s="58" t="str">
        <x:v>USD</x:v>
      </x:c>
      <x:c r="E21" s="59" t="n">
        <x:f>IF(COUNT(G21:R21)=12,SUM(G21:R21),"n.a.")</x:f>
        <x:v>299310.6</x:v>
      </x:c>
      <x:c r="F21" s="58"/>
      <x:c r="G21" s="59" t="n">
        <x:f>IF(AND(ISNUMBER(G19),ISNUMBER(G20)),G19-G20,"n.a.")</x:f>
        <x:v>37007.6</x:v>
      </x:c>
      <x:c r="H21" s="59" t="n">
        <x:f>IF(AND(ISNUMBER(H19),ISNUMBER(H20)),H19-H20,"n.a.")</x:f>
        <x:v>37007.6</x:v>
      </x:c>
      <x:c r="I21" s="59" t="n">
        <x:f>IF(AND(ISNUMBER(I19),ISNUMBER(I20)),I19-I20,"n.a.")</x:f>
        <x:v>37007.6</x:v>
      </x:c>
      <x:c r="J21" s="59" t="n">
        <x:f>IF(AND(ISNUMBER(J19),ISNUMBER(J20)),J19-J20,"n.a.")</x:f>
        <x:v>37007.6</x:v>
      </x:c>
      <x:c r="K21" s="59" t="n">
        <x:f>IF(AND(ISNUMBER(K19),ISNUMBER(K20)),K19-K20,"n.a.")</x:f>
        <x:v>37007.6</x:v>
      </x:c>
      <x:c r="L21" s="59" t="n">
        <x:f>IF(AND(ISNUMBER(L19),ISNUMBER(L20)),L19-L20,"n.a.")</x:f>
        <x:v>37007.6</x:v>
      </x:c>
      <x:c r="M21" s="59" t="n">
        <x:f>IF(AND(ISNUMBER(M19),ISNUMBER(M20)),M19-M20,"n.a.")</x:f>
        <x:v>-10250</x:v>
      </x:c>
      <x:c r="N21" s="59" t="n">
        <x:f>IF(AND(ISNUMBER(N19),ISNUMBER(N20)),N19-N20,"n.a.")</x:f>
        <x:v>-10250</x:v>
      </x:c>
      <x:c r="O21" s="59" t="n">
        <x:f>IF(AND(ISNUMBER(O19),ISNUMBER(O20)),O19-O20,"n.a.")</x:f>
        <x:v>-5750</x:v>
      </x:c>
      <x:c r="P21" s="59" t="n">
        <x:f>IF(AND(ISNUMBER(P19),ISNUMBER(P20)),P19-P20,"n.a.")</x:f>
        <x:v>34505</x:v>
      </x:c>
      <x:c r="Q21" s="59" t="n">
        <x:f>IF(AND(ISNUMBER(Q19),ISNUMBER(Q20)),Q19-Q20,"n.a.")</x:f>
        <x:v>34505</x:v>
      </x:c>
      <x:c r="R21" s="59" t="n">
        <x:f>IF(AND(ISNUMBER(R19),ISNUMBER(R20)),R19-R20,"n.a.")</x:f>
        <x:v>34505</x:v>
      </x:c>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21" customHeight="1">
      <x:c r="A28" s="2"/>
      <x:c r="B28" s="2"/>
      <x:c r="C28" s="2"/>
      <x:c r="D28" s="2"/>
      <x:c r="E28" s="2"/>
      <x:c r="F28" s="2"/>
      <x:c r="G28" s="2"/>
      <x:c r="H28" s="2"/>
      <x:c r="I28" s="2"/>
      <x:c r="J28" s="2"/>
      <x:c r="K28" s="2"/>
      <x:c r="L28" s="2"/>
      <x:c r="M28" s="2"/>
      <x:c r="N28" s="2"/>
      <x:c r="O28" s="2"/>
      <x:c r="P28" s="2"/>
      <x:c r="Q28" s="2"/>
      <x:c r="R28" s="2"/>
    </x:row>
    <x:row r="29" ht="21" customHeight="1">
      <x:c r="A29" s="2"/>
      <x:c r="B29" s="2"/>
      <x:c r="C29" s="2"/>
      <x:c r="D29" s="2"/>
      <x:c r="E29" s="2"/>
      <x:c r="F29" s="2"/>
      <x:c r="G29" s="2"/>
      <x:c r="H29" s="2"/>
      <x:c r="I29" s="2"/>
      <x:c r="J29" s="2"/>
      <x:c r="K29" s="2"/>
      <x:c r="L29" s="2"/>
      <x:c r="M29" s="2"/>
      <x:c r="N29" s="2"/>
      <x:c r="O29" s="2"/>
      <x:c r="P29" s="2"/>
      <x:c r="Q29" s="2"/>
      <x:c r="R29" s="2"/>
    </x:row>
    <x:row r="30" ht="21" customHeight="1">
      <x:c r="A30" s="2"/>
      <x:c r="B30" s="2"/>
      <x:c r="C30" s="2"/>
      <x:c r="D30" s="2"/>
      <x:c r="E30" s="2"/>
      <x:c r="F30" s="2"/>
      <x:c r="G30" s="2"/>
      <x:c r="H30" s="2"/>
      <x:c r="I30" s="2"/>
      <x:c r="J30" s="2"/>
      <x:c r="K30" s="2"/>
      <x:c r="L30" s="2"/>
      <x:c r="M30" s="2"/>
      <x:c r="N30" s="2"/>
      <x:c r="O30" s="2"/>
      <x:c r="P30" s="2"/>
      <x:c r="Q30" s="2"/>
      <x:c r="R30" s="2"/>
    </x:row>
    <x:row r="31" ht="21" customHeight="1">
      <x:c r="A31" s="2"/>
      <x:c r="B31" s="2"/>
      <x:c r="C31" s="2"/>
      <x:c r="D31" s="2"/>
      <x:c r="E31" s="2"/>
      <x:c r="F31" s="2"/>
      <x:c r="G31" s="2"/>
      <x:c r="H31" s="2"/>
      <x:c r="I31" s="2"/>
      <x:c r="J31" s="2"/>
      <x:c r="K31" s="2"/>
      <x:c r="L31" s="2"/>
      <x:c r="M31" s="2"/>
      <x:c r="N31" s="2"/>
      <x:c r="O31" s="2"/>
      <x:c r="P31" s="2"/>
      <x:c r="Q31" s="2"/>
      <x:c r="R31" s="2"/>
    </x:row>
    <x:row r="32" ht="21" customHeight="1">
      <x:c r="A32" s="2"/>
      <x:c r="B32" s="2"/>
      <x:c r="C32" s="2"/>
      <x:c r="D32" s="2"/>
      <x:c r="E32" s="2"/>
      <x:c r="F32" s="2"/>
      <x:c r="G32" s="2"/>
      <x:c r="H32" s="2"/>
      <x:c r="I32" s="2"/>
      <x:c r="J32" s="2"/>
      <x:c r="K32" s="2"/>
      <x:c r="L32" s="2"/>
      <x:c r="M32" s="2"/>
      <x:c r="N32" s="2"/>
      <x:c r="O32" s="2"/>
      <x:c r="P32" s="2"/>
      <x:c r="Q32" s="2"/>
      <x:c r="R32" s="2"/>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48" t="n">
        <x:f>IF(AND(ISNUMBER('Operations'!E21),ISNUMBER('Assumptions'!$D$52)),'Operations'!E21+'Assumptions'!$D$52,"n.a.")</x:f>
        <x:v>299310.6</x:v>
      </x:c>
      <x:c r="E9" s="2"/>
      <x:c r="F9" s="2"/>
      <x:c r="G9" s="2"/>
      <x:c r="H9" s="2"/>
      <x:c r="I9" s="2"/>
      <x:c r="J9" s="2"/>
      <x:c r="K9" s="2"/>
      <x:c r="L9" s="2"/>
      <x:c r="M9" s="2"/>
      <x:c r="N9" s="2"/>
      <x:c r="O9" s="2"/>
      <x:c r="P9" s="2"/>
      <x:c r="Q9" s="2"/>
      <x:c r="R9" s="2"/>
    </x:row>
    <x:row r="10" ht="21" customHeight="1">
      <x:c r="A10" s="2"/>
      <x:c r="B10" s="2"/>
      <x:c r="C10" s="2" t="str">
        <x:v>Monthly amortizing factor</x:v>
      </x:c>
      <x:c r="D10" s="62"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48" t="n">
        <x:f>IF(AND(ISNUMBER(D9),ISNUMBER('Assumptions'!$D$46),ISNUMBER(D10)),MAX(0,D9)/'Assumptions'!$D$46/(D10*12),"n.a.")</x:f>
        <x:v>2955247.0918960427</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48" t="n">
        <x:f>IF(AND(ISNUMBER('Assumptions'!$D$10),ISNUMBER('Assumptions'!$D$43)),'Assumptions'!$D$10*'Assumptions'!$D$43,"n.a.")</x:f>
        <x:v>3640000</x:v>
      </x:c>
      <x:c r="E12" s="2"/>
      <x:c r="F12" s="2"/>
      <x:c r="G12" s="2"/>
      <x:c r="H12" s="2"/>
      <x:c r="I12" s="2"/>
      <x:c r="J12" s="2"/>
      <x:c r="K12" s="2"/>
      <x:c r="L12" s="2"/>
      <x:c r="M12" s="2"/>
      <x:c r="N12" s="2"/>
      <x:c r="O12" s="2"/>
      <x:c r="P12" s="2"/>
      <x:c r="Q12" s="2"/>
      <x:c r="R12" s="2"/>
    </x:row>
    <x:row r="13" ht="21" customHeight="1">
      <x:c r="A13" s="2"/>
      <x:c r="B13" s="2"/>
      <x:c r="C13" s="2" t="str">
        <x:v>Debt-yield loan capacity</x:v>
      </x:c>
      <x:c r="D13" s="48" t="n">
        <x:f>IF(AND(ISNUMBER(D9),ISNUMBER('Assumptions'!$D$49)),MAX(0,D9)/'Assumptions'!$D$49,"n.a.")</x:f>
        <x:v>3325673.333333333</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48" t="n">
        <x:f>IF(AND(ISNUMBER(D11),ISNUMBER(D12),ISNUMBER(D13),ISNUMBER('Assumptions'!$D$28)),MIN(D11,D12,D13,'Assumptions'!$D$28),"n.a.")</x:f>
        <x:v>2955247.0918960427</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DSCR</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49" t="n">
        <x:f>IF(AND(ISNUMBER(D14),ISNUMBER(D10)),D14*D10,"n.a.")</x:f>
        <x:v>19954.04</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48" t="n">
        <x:f>IF(AND(ISNUMBER('Assumptions'!$D$13),ISNUMBER('Assumptions'!$D$16),ISNUMBER('Assumptions'!$D$19),ISNUMBER('Assumptions'!$D$22)),'Assumptions'!$D$13+'Assumptions'!$D$16+'Assumptions'!$D$19+'Assumptions'!$D$22,"n.a.")</x:f>
        <x:v>5700000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49" t="n">
        <x:f>IF(AND(ISNUMBER(D17),ISNUMBER(D14)),D17-D14,"n.a.")</x:f>
        <x:v>2744752.9081039573</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48" t="n">
        <x:f>IF(AND(ISNUMBER('Assumptions'!$D$25),ISNUMBER(D18)),'Assumptions'!$D$25-D18,"n.a.")</x:f>
        <x:v>255247.0918960427</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48"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2708467.1297985343</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63" t="n">
        <x:f>IF(AND(ISNUMBER(D14)),D14,"n.a.")</x:f>
        <x:v>2955247.0918960427</x:v>
      </x:c>
      <x:c r="H29" s="63" t="n">
        <x:f>IF(AND(ISNUMBER(G33)),G33,"n.a.")</x:f>
        <x:v>2955247.0918960427</x:v>
      </x:c>
      <x:c r="I29" s="63" t="n">
        <x:f>IF(AND(ISNUMBER(H33)),H33,"n.a.")</x:f>
        <x:v>2955247.0918960427</x:v>
      </x:c>
      <x:c r="J29" s="63" t="n">
        <x:f>IF(AND(ISNUMBER(I33)),I33,"n.a.")</x:f>
        <x:v>2955247.0918960427</x:v>
      </x:c>
      <x:c r="K29" s="63" t="n">
        <x:f>IF(AND(ISNUMBER(J33)),J33,"n.a.")</x:f>
        <x:v>2955247.0918960427</x:v>
      </x:c>
      <x:c r="L29" s="63" t="n">
        <x:f>IF(AND(ISNUMBER(K33)),K33,"n.a.")</x:f>
        <x:v>2955247.0918960427</x:v>
      </x:c>
      <x:c r="M29" s="63" t="n">
        <x:f>IF(AND(ISNUMBER(L33)),L33,"n.a.")</x:f>
        <x:v>2955247.0918960427</x:v>
      </x:c>
      <x:c r="N29" s="63" t="n">
        <x:f>IF(AND(ISNUMBER(M33)),M33,"n.a.")</x:f>
        <x:v>2951300.64031048</x:v>
      </x:c>
      <x:c r="O29" s="63" t="n">
        <x:f>IF(AND(ISNUMBER(N33)),N33,"n.a.")</x:f>
        <x:v>2947332.8121121614</x:v>
      </x:c>
      <x:c r="P29" s="63" t="n">
        <x:f>IF(AND(ISNUMBER(O33)),O33,"n.a.")</x:f>
        <x:v>2943343.4915111023</x:v>
      </x:c>
      <x:c r="Q29" s="63" t="n">
        <x:f>IF(AND(ISNUMBER(P33)),P33,"n.a.")</x:f>
        <x:v>2939332.5620901207</x:v>
      </x:c>
      <x:c r="R29" s="63" t="n">
        <x:f>IF(AND(ISNUMBER(Q33)),Q33,"n.a.")</x:f>
        <x:v>2935299.906801442</x:v>
      </x:c>
    </x:row>
    <x:row r="30" ht="21" customHeight="1">
      <x:c r="A30" s="2"/>
      <x:c r="B30" s="2"/>
      <x:c r="C30" s="2" t="str">
        <x:v>Monthly interest</x:v>
      </x:c>
      <x:c r="D30" s="2"/>
      <x:c r="E30" s="2"/>
      <x:c r="F30" s="2"/>
      <x:c r="G30" s="64" t="n">
        <x:f>IF(AND(ISNUMBER(G29),ISNUMBER('Assumptions'!$D$31)),G29*'Assumptions'!$D$31/12,"n.a.")</x:f>
        <x:v>16007.588414436897</x:v>
      </x:c>
      <x:c r="H30" s="64" t="n">
        <x:f>IF(AND(ISNUMBER(H29),ISNUMBER('Assumptions'!$D$31)),H29*'Assumptions'!$D$31/12,"n.a.")</x:f>
        <x:v>16007.588414436897</x:v>
      </x:c>
      <x:c r="I30" s="64" t="n">
        <x:f>IF(AND(ISNUMBER(I29),ISNUMBER('Assumptions'!$D$31)),I29*'Assumptions'!$D$31/12,"n.a.")</x:f>
        <x:v>16007.588414436897</x:v>
      </x:c>
      <x:c r="J30" s="64" t="n">
        <x:f>IF(AND(ISNUMBER(J29),ISNUMBER('Assumptions'!$D$31)),J29*'Assumptions'!$D$31/12,"n.a.")</x:f>
        <x:v>16007.588414436897</x:v>
      </x:c>
      <x:c r="K30" s="64" t="n">
        <x:f>IF(AND(ISNUMBER(K29),ISNUMBER('Assumptions'!$D$31)),K29*'Assumptions'!$D$31/12,"n.a.")</x:f>
        <x:v>16007.588414436897</x:v>
      </x:c>
      <x:c r="L30" s="64" t="n">
        <x:f>IF(AND(ISNUMBER(L29),ISNUMBER('Assumptions'!$D$31)),L29*'Assumptions'!$D$31/12,"n.a.")</x:f>
        <x:v>16007.588414436897</x:v>
      </x:c>
      <x:c r="M30" s="64" t="n">
        <x:f>IF(AND(ISNUMBER(M29),ISNUMBER('Assumptions'!$D$31)),M29*'Assumptions'!$D$31/12,"n.a.")</x:f>
        <x:v>16007.588414436897</x:v>
      </x:c>
      <x:c r="N30" s="64" t="n">
        <x:f>IF(AND(ISNUMBER(N29),ISNUMBER('Assumptions'!$D$31)),N29*'Assumptions'!$D$31/12,"n.a.")</x:f>
        <x:v>15986.211801681768</x:v>
      </x:c>
      <x:c r="O30" s="64" t="n">
        <x:f>IF(AND(ISNUMBER(O29),ISNUMBER('Assumptions'!$D$31)),O29*'Assumptions'!$D$31/12,"n.a.")</x:f>
        <x:v>15964.719398940875</x:v>
      </x:c>
      <x:c r="P30" s="64" t="n">
        <x:f>IF(AND(ISNUMBER(P29),ISNUMBER('Assumptions'!$D$31)),P29*'Assumptions'!$D$31/12,"n.a.")</x:f>
        <x:v>15943.110579018472</x:v>
      </x:c>
      <x:c r="Q30" s="64" t="n">
        <x:f>IF(AND(ISNUMBER(Q29),ISNUMBER('Assumptions'!$D$31)),Q29*'Assumptions'!$D$31/12,"n.a.")</x:f>
        <x:v>15921.384711321487</x:v>
      </x:c>
      <x:c r="R30" s="64" t="n">
        <x:f>IF(AND(ISNUMBER(R29),ISNUMBER('Assumptions'!$D$31)),R29*'Assumptions'!$D$31/12,"n.a.")</x:f>
        <x:v>15899.541161841145</x:v>
      </x:c>
    </x:row>
    <x:row r="31" ht="21" customHeight="1">
      <x:c r="A31" s="2"/>
      <x:c r="B31" s="2"/>
      <x:c r="C31" s="2" t="str">
        <x:v>Scheduled payment</x:v>
      </x:c>
      <x:c r="D31" s="2"/>
      <x:c r="E31" s="2"/>
      <x:c r="F31" s="2"/>
      <x:c r="G31" s="64" t="n">
        <x:f>IF(AND(ISNUMBER('Assumptions'!$D$37),ISNUMBER(G30),ISNUMBER(G29),ISNUMBER(D16)),IF(1&lt;='Assumptions'!$D$37,G30,MIN(G29+G30,D16)),"n.a.")</x:f>
        <x:v>16007.588414436897</x:v>
      </x:c>
      <x:c r="H31" s="64" t="n">
        <x:f>IF(AND(ISNUMBER('Assumptions'!$D$37),ISNUMBER(H30),ISNUMBER(H29),ISNUMBER(D16)),IF(2&lt;='Assumptions'!$D$37,H30,MIN(H29+H30,D16)),"n.a.")</x:f>
        <x:v>16007.588414436897</x:v>
      </x:c>
      <x:c r="I31" s="64" t="n">
        <x:f>IF(AND(ISNUMBER('Assumptions'!$D$37),ISNUMBER(I30),ISNUMBER(I29),ISNUMBER(D16)),IF(3&lt;='Assumptions'!$D$37,I30,MIN(I29+I30,D16)),"n.a.")</x:f>
        <x:v>16007.588414436897</x:v>
      </x:c>
      <x:c r="J31" s="64" t="n">
        <x:f>IF(AND(ISNUMBER('Assumptions'!$D$37),ISNUMBER(J30),ISNUMBER(J29),ISNUMBER(D16)),IF(4&lt;='Assumptions'!$D$37,J30,MIN(J29+J30,D16)),"n.a.")</x:f>
        <x:v>16007.588414436897</x:v>
      </x:c>
      <x:c r="K31" s="64" t="n">
        <x:f>IF(AND(ISNUMBER('Assumptions'!$D$37),ISNUMBER(K30),ISNUMBER(K29),ISNUMBER(D16)),IF(5&lt;='Assumptions'!$D$37,K30,MIN(K29+K30,D16)),"n.a.")</x:f>
        <x:v>16007.588414436897</x:v>
      </x:c>
      <x:c r="L31" s="64" t="n">
        <x:f>IF(AND(ISNUMBER('Assumptions'!$D$37),ISNUMBER(L30),ISNUMBER(L29),ISNUMBER(D16)),IF(6&lt;='Assumptions'!$D$37,L30,MIN(L29+L30,D16)),"n.a.")</x:f>
        <x:v>16007.588414436897</x:v>
      </x:c>
      <x:c r="M31" s="64" t="n">
        <x:f>IF(AND(ISNUMBER('Assumptions'!$D$37),ISNUMBER(M30),ISNUMBER(M29),ISNUMBER(D16)),IF(7&lt;='Assumptions'!$D$37,M30,MIN(M29+M30,D16)),"n.a.")</x:f>
        <x:v>19954.04</x:v>
      </x:c>
      <x:c r="N31" s="64" t="n">
        <x:f>IF(AND(ISNUMBER('Assumptions'!$D$37),ISNUMBER(N30),ISNUMBER(N29),ISNUMBER(D16)),IF(8&lt;='Assumptions'!$D$37,N30,MIN(N29+N30,D16)),"n.a.")</x:f>
        <x:v>19954.04</x:v>
      </x:c>
      <x:c r="O31" s="64" t="n">
        <x:f>IF(AND(ISNUMBER('Assumptions'!$D$37),ISNUMBER(O30),ISNUMBER(O29),ISNUMBER(D16)),IF(9&lt;='Assumptions'!$D$37,O30,MIN(O29+O30,D16)),"n.a.")</x:f>
        <x:v>19954.04</x:v>
      </x:c>
      <x:c r="P31" s="64" t="n">
        <x:f>IF(AND(ISNUMBER('Assumptions'!$D$37),ISNUMBER(P30),ISNUMBER(P29),ISNUMBER(D16)),IF(10&lt;='Assumptions'!$D$37,P30,MIN(P29+P30,D16)),"n.a.")</x:f>
        <x:v>19954.04</x:v>
      </x:c>
      <x:c r="Q31" s="64" t="n">
        <x:f>IF(AND(ISNUMBER('Assumptions'!$D$37),ISNUMBER(Q30),ISNUMBER(Q29),ISNUMBER(D16)),IF(11&lt;='Assumptions'!$D$37,Q30,MIN(Q29+Q30,D16)),"n.a.")</x:f>
        <x:v>19954.04</x:v>
      </x:c>
      <x:c r="R31" s="64" t="n">
        <x:f>IF(AND(ISNUMBER('Assumptions'!$D$37),ISNUMBER(R30),ISNUMBER(R29),ISNUMBER(D16)),IF(12&lt;='Assumptions'!$D$37,R30,MIN(R29+R30,D16)),"n.a.")</x:f>
        <x:v>19954.04</x:v>
      </x:c>
    </x:row>
    <x:row r="32" ht="21" customHeight="1">
      <x:c r="A32" s="2"/>
      <x:c r="B32" s="2"/>
      <x:c r="C32" s="2" t="str">
        <x:v>Scheduled principal</x:v>
      </x:c>
      <x:c r="D32" s="2"/>
      <x:c r="E32" s="2"/>
      <x:c r="F32" s="2"/>
      <x:c r="G32" s="63" t="n">
        <x:f>IF(AND(ISNUMBER(G31),ISNUMBER(G30)),G31-G30,"n.a.")</x:f>
        <x:v>0</x:v>
      </x:c>
      <x:c r="H32" s="63" t="n">
        <x:f>IF(AND(ISNUMBER(H31),ISNUMBER(H30)),H31-H30,"n.a.")</x:f>
        <x:v>0</x:v>
      </x:c>
      <x:c r="I32" s="63" t="n">
        <x:f>IF(AND(ISNUMBER(I31),ISNUMBER(I30)),I31-I30,"n.a.")</x:f>
        <x:v>0</x:v>
      </x:c>
      <x:c r="J32" s="63" t="n">
        <x:f>IF(AND(ISNUMBER(J31),ISNUMBER(J30)),J31-J30,"n.a.")</x:f>
        <x:v>0</x:v>
      </x:c>
      <x:c r="K32" s="63" t="n">
        <x:f>IF(AND(ISNUMBER(K31),ISNUMBER(K30)),K31-K30,"n.a.")</x:f>
        <x:v>0</x:v>
      </x:c>
      <x:c r="L32" s="63" t="n">
        <x:f>IF(AND(ISNUMBER(L31),ISNUMBER(L30)),L31-L30,"n.a.")</x:f>
        <x:v>0</x:v>
      </x:c>
      <x:c r="M32" s="63" t="n">
        <x:f>IF(AND(ISNUMBER(M31),ISNUMBER(M30)),M31-M30,"n.a.")</x:f>
        <x:v>3946.4515855631034</x:v>
      </x:c>
      <x:c r="N32" s="63" t="n">
        <x:f>IF(AND(ISNUMBER(N31),ISNUMBER(N30)),N31-N30,"n.a.")</x:f>
        <x:v>3967.8281983182333</x:v>
      </x:c>
      <x:c r="O32" s="63" t="n">
        <x:f>IF(AND(ISNUMBER(O31),ISNUMBER(O30)),O31-O30,"n.a.")</x:f>
        <x:v>3989.3206010591257</x:v>
      </x:c>
      <x:c r="P32" s="63" t="n">
        <x:f>IF(AND(ISNUMBER(P31),ISNUMBER(P30)),P31-P30,"n.a.")</x:f>
        <x:v>4010.929420981529</x:v>
      </x:c>
      <x:c r="Q32" s="63" t="n">
        <x:f>IF(AND(ISNUMBER(Q31),ISNUMBER(Q30)),Q31-Q30,"n.a.")</x:f>
        <x:v>4032.655288678514</x:v>
      </x:c>
      <x:c r="R32" s="63" t="n">
        <x:f>IF(AND(ISNUMBER(R31),ISNUMBER(R30)),R31-R30,"n.a.")</x:f>
        <x:v>4054.4988381588555</x:v>
      </x:c>
    </x:row>
    <x:row r="33" ht="21" customHeight="1">
      <x:c r="A33" s="2"/>
      <x:c r="B33" s="2"/>
      <x:c r="C33" s="2" t="str">
        <x:v>Ending loan balance</x:v>
      </x:c>
      <x:c r="D33" s="2"/>
      <x:c r="E33" s="2"/>
      <x:c r="F33" s="2"/>
      <x:c r="G33" s="63" t="n">
        <x:f>IF(AND(ISNUMBER(G29),ISNUMBER(G32),ISNUMBER(G38)),G29-G32-G38,"n.a.")</x:f>
        <x:v>2955247.0918960427</x:v>
      </x:c>
      <x:c r="H33" s="63" t="n">
        <x:f>IF(AND(ISNUMBER(H29),ISNUMBER(H32),ISNUMBER(H38)),H29-H32-H38,"n.a.")</x:f>
        <x:v>2955247.0918960427</x:v>
      </x:c>
      <x:c r="I33" s="63" t="n">
        <x:f>IF(AND(ISNUMBER(I29),ISNUMBER(I32),ISNUMBER(I38)),I29-I32-I38,"n.a.")</x:f>
        <x:v>2955247.0918960427</x:v>
      </x:c>
      <x:c r="J33" s="63" t="n">
        <x:f>IF(AND(ISNUMBER(J29),ISNUMBER(J32),ISNUMBER(J38)),J29-J32-J38,"n.a.")</x:f>
        <x:v>2955247.0918960427</x:v>
      </x:c>
      <x:c r="K33" s="63" t="n">
        <x:f>IF(AND(ISNUMBER(K29),ISNUMBER(K32),ISNUMBER(K38)),K29-K32-K38,"n.a.")</x:f>
        <x:v>2955247.0918960427</x:v>
      </x:c>
      <x:c r="L33" s="63" t="n">
        <x:f>IF(AND(ISNUMBER(L29),ISNUMBER(L32),ISNUMBER(L38)),L29-L32-L38,"n.a.")</x:f>
        <x:v>2955247.0918960427</x:v>
      </x:c>
      <x:c r="M33" s="63" t="n">
        <x:f>IF(AND(ISNUMBER(M29),ISNUMBER(M32),ISNUMBER(M38)),M29-M32-M38,"n.a.")</x:f>
        <x:v>2951300.64031048</x:v>
      </x:c>
      <x:c r="N33" s="63" t="n">
        <x:f>IF(AND(ISNUMBER(N29),ISNUMBER(N32),ISNUMBER(N38)),N29-N32-N38,"n.a.")</x:f>
        <x:v>2947332.8121121614</x:v>
      </x:c>
      <x:c r="O33" s="63" t="n">
        <x:f>IF(AND(ISNUMBER(O29),ISNUMBER(O32),ISNUMBER(O38)),O29-O32-O38,"n.a.")</x:f>
        <x:v>2943343.4915111023</x:v>
      </x:c>
      <x:c r="P33" s="63" t="n">
        <x:f>IF(AND(ISNUMBER(P29),ISNUMBER(P32),ISNUMBER(P38)),P29-P32-P38,"n.a.")</x:f>
        <x:v>2939332.5620901207</x:v>
      </x:c>
      <x:c r="Q33" s="63" t="n">
        <x:f>IF(AND(ISNUMBER(Q29),ISNUMBER(Q32),ISNUMBER(Q38)),Q29-Q32-Q38,"n.a.")</x:f>
        <x:v>2935299.906801442</x:v>
      </x:c>
      <x:c r="R33" s="63" t="n">
        <x:f>IF(AND(ISNUMBER(R29),ISNUMBER(R32),ISNUMBER(R38)),R29-R32-R38,"n.a.")</x:f>
        <x:v>2931245.4079632834</x:v>
      </x:c>
    </x:row>
    <x:row r="34" ht="21" customHeight="1">
      <x:c r="A34" s="2"/>
      <x:c r="B34" s="2"/>
      <x:c r="C34" s="2" t="str">
        <x:v>Operating cash NCF</x:v>
      </x:c>
      <x:c r="D34" s="2"/>
      <x:c r="E34" s="2"/>
      <x:c r="F34" s="2"/>
      <x:c r="G34" s="64" t="n">
        <x:f>IF(AND(ISNUMBER('Operations'!G21)),'Operations'!G21,"n.a.")</x:f>
        <x:v>37007.6</x:v>
      </x:c>
      <x:c r="H34" s="64" t="n">
        <x:f>IF(AND(ISNUMBER('Operations'!H21)),'Operations'!H21,"n.a.")</x:f>
        <x:v>37007.6</x:v>
      </x:c>
      <x:c r="I34" s="64" t="n">
        <x:f>IF(AND(ISNUMBER('Operations'!I21)),'Operations'!I21,"n.a.")</x:f>
        <x:v>37007.6</x:v>
      </x:c>
      <x:c r="J34" s="64" t="n">
        <x:f>IF(AND(ISNUMBER('Operations'!J21)),'Operations'!J21,"n.a.")</x:f>
        <x:v>37007.6</x:v>
      </x:c>
      <x:c r="K34" s="64" t="n">
        <x:f>IF(AND(ISNUMBER('Operations'!K21)),'Operations'!K21,"n.a.")</x:f>
        <x:v>37007.6</x:v>
      </x:c>
      <x:c r="L34" s="64" t="n">
        <x:f>IF(AND(ISNUMBER('Operations'!L21)),'Operations'!L21,"n.a.")</x:f>
        <x:v>37007.6</x:v>
      </x:c>
      <x:c r="M34" s="64" t="n">
        <x:f>IF(AND(ISNUMBER('Operations'!M21)),'Operations'!M21,"n.a.")</x:f>
        <x:v>-10250</x:v>
      </x:c>
      <x:c r="N34" s="64" t="n">
        <x:f>IF(AND(ISNUMBER('Operations'!N21)),'Operations'!N21,"n.a.")</x:f>
        <x:v>-10250</x:v>
      </x:c>
      <x:c r="O34" s="64" t="n">
        <x:f>IF(AND(ISNUMBER('Operations'!O21)),'Operations'!O21,"n.a.")</x:f>
        <x:v>-5750</x:v>
      </x:c>
      <x:c r="P34" s="64" t="n">
        <x:f>IF(AND(ISNUMBER('Operations'!P21)),'Operations'!P21,"n.a.")</x:f>
        <x:v>34505</x:v>
      </x:c>
      <x:c r="Q34" s="64" t="n">
        <x:f>IF(AND(ISNUMBER('Operations'!Q21)),'Operations'!Q21,"n.a.")</x:f>
        <x:v>34505</x:v>
      </x:c>
      <x:c r="R34" s="64" t="n">
        <x:f>IF(AND(ISNUMBER('Operations'!R21)),'Operations'!R21,"n.a.")</x:f>
        <x:v>34505</x:v>
      </x:c>
    </x:row>
    <x:row r="35" ht="21" customHeight="1">
      <x:c r="A35" s="2"/>
      <x:c r="B35" s="2"/>
      <x:c r="C35" s="2" t="str">
        <x:v>Capital-work cash</x:v>
      </x:c>
      <x:c r="D35" s="2"/>
      <x:c r="E35" s="2"/>
      <x:c r="F35" s="2"/>
      <x:c r="G35" s="64" t="n">
        <x:f>IF(AND(ISNUMBER('Operations'!G16)),'Operations'!G16,"n.a.")</x:f>
        <x:v>1000</x:v>
      </x:c>
      <x:c r="H35" s="64" t="n">
        <x:f>IF(AND(ISNUMBER('Operations'!H16)),'Operations'!H16,"n.a.")</x:f>
        <x:v>1000</x:v>
      </x:c>
      <x:c r="I35" s="64" t="n">
        <x:f>IF(AND(ISNUMBER('Operations'!I16)),'Operations'!I16,"n.a.")</x:f>
        <x:v>45000</x:v>
      </x:c>
      <x:c r="J35" s="64" t="n">
        <x:f>IF(AND(ISNUMBER('Operations'!J16)),'Operations'!J16,"n.a.")</x:f>
        <x:v>1000</x:v>
      </x:c>
      <x:c r="K35" s="64" t="n">
        <x:f>IF(AND(ISNUMBER('Operations'!K16)),'Operations'!K16,"n.a.")</x:f>
        <x:v>1000</x:v>
      </x:c>
      <x:c r="L35" s="64" t="n">
        <x:f>IF(AND(ISNUMBER('Operations'!L16)),'Operations'!L16,"n.a.")</x:f>
        <x:v>1000</x:v>
      </x:c>
      <x:c r="M35" s="64" t="n">
        <x:f>IF(AND(ISNUMBER('Operations'!M16)),'Operations'!M16,"n.a.")</x:f>
        <x:v>1000</x:v>
      </x:c>
      <x:c r="N35" s="64" t="n">
        <x:f>IF(AND(ISNUMBER('Operations'!N16)),'Operations'!N16,"n.a.")</x:f>
        <x:v>1000</x:v>
      </x:c>
      <x:c r="O35" s="64" t="n">
        <x:f>IF(AND(ISNUMBER('Operations'!O16)),'Operations'!O16,"n.a.")</x:f>
        <x:v>251000</x:v>
      </x:c>
      <x:c r="P35" s="64" t="n">
        <x:f>IF(AND(ISNUMBER('Operations'!P16)),'Operations'!P16,"n.a.")</x:f>
        <x:v>1000</x:v>
      </x:c>
      <x:c r="Q35" s="64" t="n">
        <x:f>IF(AND(ISNUMBER('Operations'!Q16)),'Operations'!Q16,"n.a.")</x:f>
        <x:v>1000</x:v>
      </x:c>
      <x:c r="R35" s="64" t="n">
        <x:f>IF(AND(ISNUMBER('Operations'!R16)),'Operations'!R16,"n.a.")</x:f>
        <x:v>1000</x:v>
      </x:c>
    </x:row>
    <x:row r="36" ht="21" customHeight="1">
      <x:c r="A36" s="2"/>
      <x:c r="B36" s="2"/>
      <x:c r="C36" s="2" t="str">
        <x:v>Cash after debt and capital</x:v>
      </x:c>
      <x:c r="D36" s="2"/>
      <x:c r="E36" s="2"/>
      <x:c r="F36" s="2"/>
      <x:c r="G36" s="63" t="n">
        <x:f>IF(AND(ISNUMBER(G34),ISNUMBER(G31),ISNUMBER(G35),ISNUMBER(G38)),G34-G31-G35-G38,"n.a.")</x:f>
        <x:v>20000.0115855631</x:v>
      </x:c>
      <x:c r="H36" s="63" t="n">
        <x:f>IF(AND(ISNUMBER(H34),ISNUMBER(H31),ISNUMBER(H35),ISNUMBER(H38)),H34-H31-H35-H38,"n.a.")</x:f>
        <x:v>20000.0115855631</x:v>
      </x:c>
      <x:c r="I36" s="63" t="n">
        <x:f>IF(AND(ISNUMBER(I34),ISNUMBER(I31),ISNUMBER(I35),ISNUMBER(I38)),I34-I31-I35-I38,"n.a.")</x:f>
        <x:v>-23999.9884144369</x:v>
      </x:c>
      <x:c r="J36" s="63" t="n">
        <x:f>IF(AND(ISNUMBER(J34),ISNUMBER(J31),ISNUMBER(J35),ISNUMBER(J38)),J34-J31-J35-J38,"n.a.")</x:f>
        <x:v>20000.0115855631</x:v>
      </x:c>
      <x:c r="K36" s="63" t="n">
        <x:f>IF(AND(ISNUMBER(K34),ISNUMBER(K31),ISNUMBER(K35),ISNUMBER(K38)),K34-K31-K35-K38,"n.a.")</x:f>
        <x:v>20000.0115855631</x:v>
      </x:c>
      <x:c r="L36" s="63" t="n">
        <x:f>IF(AND(ISNUMBER(L34),ISNUMBER(L31),ISNUMBER(L35),ISNUMBER(L38)),L34-L31-L35-L38,"n.a.")</x:f>
        <x:v>20000.0115855631</x:v>
      </x:c>
      <x:c r="M36" s="63" t="n">
        <x:f>IF(AND(ISNUMBER(M34),ISNUMBER(M31),ISNUMBER(M35),ISNUMBER(M38)),M34-M31-M35-M38,"n.a.")</x:f>
        <x:v>-31204.04</x:v>
      </x:c>
      <x:c r="N36" s="63" t="n">
        <x:f>IF(AND(ISNUMBER(N34),ISNUMBER(N31),ISNUMBER(N35),ISNUMBER(N38)),N34-N31-N35-N38,"n.a.")</x:f>
        <x:v>-31204.04</x:v>
      </x:c>
      <x:c r="O36" s="63" t="n">
        <x:f>IF(AND(ISNUMBER(O34),ISNUMBER(O31),ISNUMBER(O35),ISNUMBER(O38)),O34-O31-O35-O38,"n.a.")</x:f>
        <x:v>-276704.04</x:v>
      </x:c>
      <x:c r="P36" s="63" t="n">
        <x:f>IF(AND(ISNUMBER(P34),ISNUMBER(P31),ISNUMBER(P35),ISNUMBER(P38)),P34-P31-P35-P38,"n.a.")</x:f>
        <x:v>13550.96</x:v>
      </x:c>
      <x:c r="Q36" s="63" t="n">
        <x:f>IF(AND(ISNUMBER(Q34),ISNUMBER(Q31),ISNUMBER(Q35),ISNUMBER(Q38)),Q34-Q31-Q35-Q38,"n.a.")</x:f>
        <x:v>13550.96</x:v>
      </x:c>
      <x:c r="R36" s="63" t="n">
        <x:f>IF(AND(ISNUMBER(R34),ISNUMBER(R31),ISNUMBER(R35),ISNUMBER(R38)),R34-R31-R35-R38,"n.a.")</x:f>
        <x:v>13550.96</x:v>
      </x:c>
    </x:row>
    <x:row r="37" ht="21" customHeight="1">
      <x:c r="A37" s="2"/>
      <x:c r="B37" s="2"/>
      <x:c r="C37" s="2" t="str">
        <x:v>Ending operating cash</x:v>
      </x:c>
      <x:c r="D37" s="2"/>
      <x:c r="E37" s="2"/>
      <x:c r="F37" s="2"/>
      <x:c r="G37" s="64" t="n">
        <x:f>IF(AND(ISNUMBER('Assumptions'!$D$22),ISNUMBER(G36)),'Assumptions'!$D$22+G36,"n.a.")</x:f>
        <x:v>270000.0115855631</x:v>
      </x:c>
      <x:c r="H37" s="63" t="n">
        <x:f>IF(AND(ISNUMBER(G37),ISNUMBER(H36)),G37+H36,"n.a.")</x:f>
        <x:v>290000.02317112614</x:v>
      </x:c>
      <x:c r="I37" s="63" t="n">
        <x:f>IF(AND(ISNUMBER(H37),ISNUMBER(I36)),H37+I36,"n.a.")</x:f>
        <x:v>266000.0347566892</x:v>
      </x:c>
      <x:c r="J37" s="63" t="n">
        <x:f>IF(AND(ISNUMBER(I37),ISNUMBER(J36)),I37+J36,"n.a.")</x:f>
        <x:v>286000.0463422523</x:v>
      </x:c>
      <x:c r="K37" s="63" t="n">
        <x:f>IF(AND(ISNUMBER(J37),ISNUMBER(K36)),J37+K36,"n.a.")</x:f>
        <x:v>306000.05792781536</x:v>
      </x:c>
      <x:c r="L37" s="63" t="n">
        <x:f>IF(AND(ISNUMBER(K37),ISNUMBER(L36)),K37+L36,"n.a.")</x:f>
        <x:v>326000.06951337843</x:v>
      </x:c>
      <x:c r="M37" s="63" t="n">
        <x:f>IF(AND(ISNUMBER(L37),ISNUMBER(M36)),L37+M36,"n.a.")</x:f>
        <x:v>294796.02951337845</x:v>
      </x:c>
      <x:c r="N37" s="63" t="n">
        <x:f>IF(AND(ISNUMBER(M37),ISNUMBER(N36)),M37+N36,"n.a.")</x:f>
        <x:v>263591.9895133785</x:v>
      </x:c>
      <x:c r="O37" s="63" t="n">
        <x:f>IF(AND(ISNUMBER(N37),ISNUMBER(O36)),N37+O36,"n.a.")</x:f>
        <x:v>-13112.050486621505</x:v>
      </x:c>
      <x:c r="P37" s="63" t="n">
        <x:f>IF(AND(ISNUMBER(O37),ISNUMBER(P36)),O37+P36,"n.a.")</x:f>
        <x:v>438.909513378494</x:v>
      </x:c>
      <x:c r="Q37" s="63" t="n">
        <x:f>IF(AND(ISNUMBER(P37),ISNUMBER(Q36)),P37+Q36,"n.a.")</x:f>
        <x:v>13989.869513378493</x:v>
      </x:c>
      <x:c r="R37" s="63" t="n">
        <x:f>IF(AND(ISNUMBER(Q37),ISNUMBER(R36)),Q37+R36,"n.a.")</x:f>
        <x:v>27540.829513378492</x:v>
      </x:c>
    </x:row>
    <x:row r="38" ht="21" customHeight="1">
      <x:c r="A38" s="2"/>
      <x:c r="B38" s="2"/>
      <x:c r="C38" s="2" t="str">
        <x:v>Maturity principal cash repayment</x:v>
      </x:c>
      <x:c r="D38" s="2"/>
      <x:c r="E38" s="2"/>
      <x:c r="F38" s="2"/>
      <x:c r="G38" s="64" t="n">
        <x:f>IF(AND(ISNUMBER('Assumptions'!$D$40),ISNUMBER(G29),ISNUMBER(G32)),IF(1='Assumptions'!$D$40,G29-G32,0),"n.a.")</x:f>
        <x:v>0</x:v>
      </x:c>
      <x:c r="H38" s="64" t="n">
        <x:f>IF(AND(ISNUMBER('Assumptions'!$D$40),ISNUMBER(H29),ISNUMBER(H32)),IF(2='Assumptions'!$D$40,H29-H32,0),"n.a.")</x:f>
        <x:v>0</x:v>
      </x:c>
      <x:c r="I38" s="64" t="n">
        <x:f>IF(AND(ISNUMBER('Assumptions'!$D$40),ISNUMBER(I29),ISNUMBER(I32)),IF(3='Assumptions'!$D$40,I29-I32,0),"n.a.")</x:f>
        <x:v>0</x:v>
      </x:c>
      <x:c r="J38" s="64" t="n">
        <x:f>IF(AND(ISNUMBER('Assumptions'!$D$40),ISNUMBER(J29),ISNUMBER(J32)),IF(4='Assumptions'!$D$40,J29-J32,0),"n.a.")</x:f>
        <x:v>0</x:v>
      </x:c>
      <x:c r="K38" s="64" t="n">
        <x:f>IF(AND(ISNUMBER('Assumptions'!$D$40),ISNUMBER(K29),ISNUMBER(K32)),IF(5='Assumptions'!$D$40,K29-K32,0),"n.a.")</x:f>
        <x:v>0</x:v>
      </x:c>
      <x:c r="L38" s="64" t="n">
        <x:f>IF(AND(ISNUMBER('Assumptions'!$D$40),ISNUMBER(L29),ISNUMBER(L32)),IF(6='Assumptions'!$D$40,L29-L32,0),"n.a.")</x:f>
        <x:v>0</x:v>
      </x:c>
      <x:c r="M38" s="64" t="n">
        <x:f>IF(AND(ISNUMBER('Assumptions'!$D$40),ISNUMBER(M29),ISNUMBER(M32)),IF(7='Assumptions'!$D$40,M29-M32,0),"n.a.")</x:f>
        <x:v>0</x:v>
      </x:c>
      <x:c r="N38" s="64" t="n">
        <x:f>IF(AND(ISNUMBER('Assumptions'!$D$40),ISNUMBER(N29),ISNUMBER(N32)),IF(8='Assumptions'!$D$40,N29-N32,0),"n.a.")</x:f>
        <x:v>0</x:v>
      </x:c>
      <x:c r="O38" s="64" t="n">
        <x:f>IF(AND(ISNUMBER('Assumptions'!$D$40),ISNUMBER(O29),ISNUMBER(O32)),IF(9='Assumptions'!$D$40,O29-O32,0),"n.a.")</x:f>
        <x:v>0</x:v>
      </x:c>
      <x:c r="P38" s="64" t="n">
        <x:f>IF(AND(ISNUMBER('Assumptions'!$D$40),ISNUMBER(P29),ISNUMBER(P32)),IF(10='Assumptions'!$D$40,P29-P32,0),"n.a.")</x:f>
        <x:v>0</x:v>
      </x:c>
      <x:c r="Q38" s="64" t="n">
        <x:f>IF(AND(ISNUMBER('Assumptions'!$D$40),ISNUMBER(Q29),ISNUMBER(Q32)),IF(11='Assumptions'!$D$40,Q29-Q32,0),"n.a.")</x:f>
        <x:v>0</x:v>
      </x:c>
      <x:c r="R38" s="64"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49" t="n">
        <x:f>IF(AND(ISNUMBER(G31),ISNUMBER(R31)),IF(COUNT(G31:R31)=12,SUM(G31:R31),"n.a."),"n.a.")</x:f>
        <x:v>215769.77048662145</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5" t="n">
        <x:f>IF(AND(ISNUMBER(D43),ISNUMBER(D9)),IF(D43=0,"n.a.",D9/D43),"n.a.")</x:f>
        <x:v>1.3871757815053076</x:v>
      </x:c>
      <x:c r="E44" s="2"/>
      <x:c r="F44" s="2"/>
      <x:c r="G44" s="2"/>
      <x:c r="H44" s="2"/>
      <x:c r="I44" s="2"/>
      <x:c r="J44" s="2"/>
      <x:c r="K44" s="2"/>
      <x:c r="L44" s="2"/>
      <x:c r="M44" s="2"/>
      <x:c r="N44" s="2"/>
      <x:c r="O44" s="2"/>
      <x:c r="P44" s="2"/>
      <x:c r="Q44" s="2"/>
      <x:c r="R44" s="2"/>
    </x:row>
    <x:row r="45" ht="21" customHeight="1">
      <x:c r="A45" s="2"/>
      <x:c r="B45" s="2"/>
      <x:c r="C45" s="2" t="str">
        <x:v>Year-end scheduled principal</x:v>
      </x:c>
      <x:c r="D45" s="49" t="n">
        <x:f>IF(AND(ISNUMBER(R33)),R33,"n.a.")</x:f>
        <x:v>2931245.4079632834</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49" t="n">
        <x:f>IF(AND(ISNUMBER(G37),ISNUMBER(R37)),IF(COUNT(G37:R37)=12,MAX(0,-MIN(G37:R37)),"n.a."),"n.a.")</x:f>
        <x:v>13112.050486621505</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49" t="n">
        <x:f>IF(AND(ISNUMBER(D19),ISNUMBER(D46)),D19-D46,"n.a.")</x:f>
        <x:v>242135.0414094212</x:v>
      </x:c>
      <x:c r="E47" s="2"/>
      <x:c r="F47" s="2"/>
      <x:c r="G47" s="2"/>
      <x:c r="H47" s="2"/>
      <x:c r="I47" s="2"/>
      <x:c r="J47" s="2"/>
      <x:c r="K47" s="2"/>
      <x:c r="L47" s="2"/>
      <x:c r="M47" s="2"/>
      <x:c r="N47" s="2"/>
      <x:c r="O47" s="2"/>
      <x:c r="P47" s="2"/>
      <x:c r="Q47" s="2"/>
      <x:c r="R47" s="2"/>
    </x:row>
    <x:row r="48" ht="21" customHeight="1">
      <x:c r="A48" s="2"/>
      <x:c r="B48" s="2"/>
      <x:c r="C48" s="2" t="str">
        <x:v>Year-end operating cash</x:v>
      </x:c>
      <x:c r="D48" s="49" t="n">
        <x:f>IF(AND(ISNUMBER(R37)),R37,"n.a.")</x:f>
        <x:v>27540.829513378492</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4" t="n">
        <x:f>24-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Assumptions'!$D$73,'Assumptions'!$D$76,'Assumptions'!$D$79)</x:f>
        <x:v>0</x:v>
      </x:c>
      <x:c r="E10" s="2"/>
      <x:c r="F10" s="2"/>
      <x:c r="G10" s="2"/>
      <x:c r="H10" s="2"/>
      <x:c r="I10" s="2"/>
      <x:c r="J10" s="2"/>
    </x:row>
    <x:row r="11" ht="21" customHeight="1">
      <x:c r="A11" s="2"/>
      <x:c r="B11" s="2"/>
      <x:c r="C11" s="2" t="str">
        <x:v>Source rows needing correction</x:v>
      </x:c>
      <x:c r="D11" s="74" t="n">
        <x:f>COUNTIFS('Lease Expiry and Owner Cash'!N10:N21,"Missing / invalid input")</x:f>
        <x:v>0</x:v>
      </x:c>
      <x:c r="E11" s="2"/>
      <x:c r="F11" s="2"/>
      <x:c r="G11" s="2"/>
      <x:c r="H11" s="2"/>
      <x:c r="I11" s="2"/>
      <x:c r="J11" s="2"/>
    </x:row>
    <x:row r="12" ht="21" customHeight="1">
      <x:c r="A12" s="2"/>
      <x:c r="B12" s="2"/>
      <x:c r="C12" s="2" t="str">
        <x:v>NOI cash-cost reconciliation</x:v>
      </x:c>
      <x:c r="D12" s="74" t="n">
        <x:f>IF(AND(ISNUMBER('Operations'!E19),ISNUMBER('Operations'!E13),ISNUMBER('Operations'!E18)),'Operations'!E19-'Operations'!E13+'Operations'!E18,"n.a.")</x:f>
        <x:v>0</x:v>
      </x:c>
      <x:c r="E12" s="2"/>
      <x:c r="F12" s="2"/>
      <x:c r="G12" s="2"/>
      <x:c r="H12" s="2"/>
      <x:c r="I12" s="2"/>
      <x:c r="J12" s="2"/>
    </x:row>
    <x:row r="13" ht="21" customHeight="1">
      <x:c r="A13" s="2"/>
      <x:c r="B13" s="2"/>
      <x:c r="C13" s="2" t="str">
        <x:v>NCF reserve reconciliation</x:v>
      </x:c>
      <x:c r="D13" s="74" t="n">
        <x:f>IF(AND(ISNUMBER('Operations'!E21),ISNUMBER('Operations'!E19),ISNUMBER('Operations'!E20)),'Operations'!E21-'Operations'!E19+'Operations'!E20,"n.a.")</x:f>
        <x:v>-2.546585164964199e-11</x:v>
      </x:c>
      <x:c r="E13" s="2"/>
      <x:c r="F13" s="2"/>
      <x:c r="G13" s="2"/>
      <x:c r="H13" s="2"/>
      <x:c r="I13" s="2"/>
      <x:c r="J13" s="2"/>
    </x:row>
    <x:row r="14" ht="21" customHeight="1">
      <x:c r="A14" s="2"/>
      <x:c r="B14" s="2"/>
      <x:c r="C14" s="2" t="str">
        <x:v>Debt principal conservation</x:v>
      </x:c>
      <x:c r="D14" s="74" t="n">
        <x:f>IF(COUNT('Debt and Funding'!G32:R32)=12,'Debt and Funding'!D14-SUM('Debt and Funding'!G32:R32)-SUM('Debt and Funding'!G38:R38)-'Debt and Funding'!D45,"n.a.")</x:f>
        <x:v>0</x:v>
      </x:c>
      <x:c r="E14" s="2"/>
      <x:c r="F14" s="2"/>
      <x:c r="G14" s="2"/>
      <x:c r="H14" s="2"/>
      <x:c r="I14" s="2"/>
      <x:c r="J14" s="2"/>
    </x:row>
    <x:row r="15" ht="21" customHeight="1">
      <x:c r="A15" s="2"/>
      <x:c r="B15" s="2"/>
      <x:c r="C15" s="2" t="str">
        <x:v>Operating cash conservation</x:v>
      </x:c>
      <x:c r="D15" s="74" t="n">
        <x:f>IF(COUNT('Debt and Funding'!G34:R36)=36,'Debt and Funding'!R37-'Assumptions'!$D$22-SUM('Debt and Funding'!G34:R34)+SUM('Debt and Funding'!G31:R31)+SUM('Debt and Funding'!G35:R35)+SUM('Debt and Funding'!G38:R38),"n.a.")</x:f>
        <x:v>0</x:v>
      </x:c>
      <x:c r="E15" s="2"/>
      <x:c r="F15" s="2"/>
      <x:c r="G15" s="2"/>
      <x:c r="H15" s="2"/>
      <x:c r="I15" s="2"/>
      <x:c r="J15" s="2"/>
    </x:row>
    <x:row r="16" ht="21" customHeight="1">
      <x:c r="A16" s="2"/>
      <x:c r="B16" s="2"/>
      <x:c r="C16" s="2" t="str">
        <x:v>Closing sources less uses</x:v>
      </x:c>
      <x:c r="D16" s="74"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Expiry month is the first month without the existing lease. Replacement possession</x:v>
      </x:c>
      <x:c r="D23" s="2"/>
      <x:c r="E23" s="2"/>
      <x:c r="F23" s="2"/>
      <x:c r="G23" s="2"/>
      <x:c r="H23" s="2"/>
      <x:c r="I23" s="2"/>
      <x:c r="J23" s="2"/>
    </x:row>
    <x:row r="24" ht="21" customHeight="1">
      <x:c r="A24" s="2"/>
      <x:c r="B24" s="2"/>
      <x:c r="C24" s="2" t="str">
        <x:v>begins after entered downtime; base rent starts after the additional free-rent months.</x:v>
      </x:c>
      <x:c r="D24" s="2"/>
      <x:c r="E24" s="2"/>
      <x:c r="F24" s="2"/>
      <x:c r="G24" s="2"/>
      <x:c r="H24" s="2"/>
      <x:c r="I24" s="2"/>
      <x:c r="J24" s="2"/>
    </x:row>
    <x:row r="25" ht="21" customHeight="1">
      <x:c r="A25" s="2"/>
      <x:c r="B25" s="2"/>
      <x:c r="C25" s="2" t="str">
        <x:v>Whole-month timing does not reproduce daily prorations.</x:v>
      </x:c>
      <x:c r="D25" s="2"/>
      <x:c r="E25" s="2"/>
      <x:c r="F25" s="2"/>
      <x:c r="G25" s="2"/>
      <x:c r="H25" s="2"/>
      <x:c r="I25" s="2"/>
      <x:c r="J25" s="2"/>
    </x:row>
    <x:row r="26" ht="21" customHeight="1">
      <x:c r="A26" s="2"/>
      <x:c r="B26" s="2"/>
      <x:c r="C26" s="2"/>
      <x:c r="D26" s="2"/>
      <x:c r="E26" s="2"/>
      <x:c r="F26" s="2"/>
      <x:c r="G26" s="2"/>
      <x:c r="H26" s="2"/>
      <x:c r="I26" s="2"/>
      <x:c r="J26" s="2"/>
    </x:row>
    <x:row r="27" ht="21" customHeight="1">
      <x:c r="A27" s="2"/>
      <x:c r="B27" s="2"/>
      <x:c r="C27" s="2" t="str">
        <x:v>Improvement and commission inputs are paid once at replacement possession. Only that</x:v>
      </x:c>
      <x:c r="D27" s="2"/>
      <x:c r="E27" s="2"/>
      <x:c r="F27" s="2"/>
      <x:c r="G27" s="2"/>
      <x:c r="H27" s="2"/>
      <x:c r="I27" s="2"/>
      <x:c r="J27" s="2"/>
    </x:row>
    <x:row r="28" ht="21" customHeight="1">
      <x:c r="A28" s="2"/>
      <x:c r="B28" s="2"/>
      <x:c r="C28" s="2" t="str">
        <x:v>month is used. Other capital follows its entered monthly schedule. Costs after month 12</x:v>
      </x:c>
      <x:c r="D28" s="2"/>
      <x:c r="E28" s="2"/>
      <x:c r="F28" s="2"/>
      <x:c r="G28" s="2"/>
      <x:c r="H28" s="2"/>
      <x:c r="I28" s="2"/>
      <x:c r="J28" s="2"/>
    </x:row>
    <x:row r="29" ht="21" customHeight="1">
      <x:c r="A29" s="2"/>
      <x:c r="B29" s="2"/>
      <x:c r="C29" s="2" t="str">
        <x:v>are outside this cash horizon.</x:v>
      </x:c>
      <x:c r="D29" s="2"/>
      <x:c r="E29" s="2"/>
      <x:c r="F29" s="2"/>
      <x:c r="G29" s="2"/>
      <x:c r="H29" s="2"/>
      <x:c r="I29" s="2"/>
      <x:c r="J29" s="2"/>
    </x:row>
    <x:row r="30" ht="21" customHeight="1">
      <x:c r="A30" s="2"/>
      <x:c r="B30" s="2"/>
      <x:c r="C30" s="2"/>
      <x:c r="D30" s="2"/>
      <x:c r="E30" s="2"/>
      <x:c r="F30" s="2"/>
      <x:c r="G30" s="2"/>
      <x:c r="H30" s="2"/>
      <x:c r="I30" s="2"/>
      <x:c r="J30" s="2"/>
    </x:row>
    <x:row r="31" ht="21" customHeight="1">
      <x:c r="A31" s="2"/>
      <x:c r="B31" s="2"/>
      <x:c r="C31" s="2" t="str">
        <x:v>Reimbursement cash is entered separately, including any recovery during free base rent.</x:v>
      </x:c>
      <x:c r="D31" s="2"/>
      <x:c r="E31" s="2"/>
      <x:c r="F31" s="2"/>
      <x:c r="G31" s="2"/>
      <x:c r="H31" s="2"/>
      <x:c r="I31" s="2"/>
      <x:c r="J31" s="2"/>
    </x:row>
    <x:row r="32" ht="21" customHeight="1">
      <x:c r="A32" s="2"/>
      <x:c r="B32" s="2"/>
      <x:c r="C32" s="2" t="str">
        <x:v>Enter zero where no entitlement or collection exists. Owner obligations remain even if</x:v>
      </x:c>
      <x:c r="D32" s="2"/>
      <x:c r="E32" s="2"/>
      <x:c r="F32" s="2"/>
      <x:c r="G32" s="2"/>
      <x:c r="H32" s="2"/>
      <x:c r="I32" s="2"/>
      <x:c r="J32" s="2"/>
    </x:row>
    <x:row r="33" ht="21" customHeight="1">
      <x:c r="A33" s="2"/>
      <x:c r="B33" s="2"/>
      <x:c r="C33" s="2" t="str">
        <x:v>the lease is described as net.</x:v>
      </x:c>
      <x:c r="D33" s="2"/>
      <x:c r="E33" s="2"/>
      <x:c r="F33" s="2"/>
      <x:c r="G33" s="2"/>
      <x:c r="H33" s="2"/>
      <x:c r="I33" s="2"/>
      <x:c r="J33" s="2"/>
    </x:row>
    <x:row r="34" ht="21" customHeight="1">
      <x:c r="A34" s="2"/>
      <x:c r="B34" s="2"/>
      <x:c r="C34" s="2"/>
      <x:c r="D34" s="2"/>
      <x:c r="E34" s="2"/>
      <x:c r="F34" s="2"/>
      <x:c r="G34" s="2"/>
      <x:c r="H34" s="2"/>
      <x:c r="I34" s="2"/>
      <x:c r="J34" s="2"/>
    </x:row>
    <x:row r="35" ht="21" customHeight="1">
      <x:c r="A35" s="2"/>
      <x:c r="B35" s="2"/>
      <x:c r="C35" s="2" t="str">
        <x:v>Replacement rent is hypothetical, not a signed renewal or credit conclusion. The</x:v>
      </x:c>
      <x:c r="D35" s="2"/>
      <x:c r="E35" s="2"/>
      <x:c r="F35" s="2"/>
      <x:c r="G35" s="2"/>
      <x:c r="H35" s="2"/>
      <x:c r="I35" s="2"/>
      <x:c r="J35" s="2"/>
    </x:row>
    <x:row r="36" ht="21" customHeight="1">
      <x:c r="A36" s="2"/>
      <x:c r="B36" s="2"/>
      <x:c r="C36" s="2" t="str">
        <x:v>workbook omits tenant financial analysis, guarantee interpretation and residual-value</x:v>
      </x:c>
      <x:c r="D36" s="2"/>
      <x:c r="E36" s="2"/>
      <x:c r="F36" s="2"/>
      <x:c r="G36" s="2"/>
      <x:c r="H36" s="2"/>
      <x:c r="I36" s="2"/>
      <x:c r="J36" s="2"/>
    </x:row>
    <x:row r="37" ht="21" customHeight="1">
      <x:c r="A37" s="2"/>
      <x:c r="B37" s="2"/>
      <x:c r="C37" s="2" t="str">
        <x:v>appraisal. First-year income sizing does not prove refinancing capacity at the later</x:v>
      </x:c>
      <x:c r="D37" s="2"/>
      <x:c r="E37" s="2"/>
      <x:c r="F37" s="2"/>
      <x:c r="G37" s="2"/>
      <x:c r="H37" s="2"/>
      <x:c r="I37" s="2"/>
      <x:c r="J37" s="2"/>
    </x:row>
    <x:row r="38" ht="21" customHeight="1">
      <x:c r="A38" s="2"/>
      <x:c r="B38" s="2"/>
      <x:c r="C38" s="2" t="str">
        <x:v>loan maturity.</x:v>
      </x:c>
      <x:c r="D38" s="2"/>
      <x:c r="E38" s="2"/>
      <x:c r="F38" s="2"/>
      <x:c r="G38" s="2"/>
      <x:c r="H38" s="2"/>
      <x:c r="I38" s="2"/>
      <x:c r="J38" s="2"/>
    </x:row>
    <x:row r="39" ht="21" customHeight="1">
      <x:c r="A39" s="2"/>
      <x:c r="B39" s="2"/>
      <x:c r="C39" s="2"/>
      <x:c r="D39" s="2"/>
      <x:c r="E39" s="2"/>
      <x:c r="F39" s="2"/>
      <x:c r="G39" s="2"/>
      <x:c r="H39" s="2"/>
      <x:c r="I39" s="2"/>
      <x:c r="J39" s="2"/>
    </x:row>
    <x:row r="40" ht="21" customHeight="1">
      <x:c r="A40" s="2"/>
      <x:c r="B40" s="2"/>
      <x:c r="C40" s="2" t="str">
        <x:v>Published by Jaken Finance Group. 833-264-7776 | info@jakenfinancegroup.com.</x:v>
      </x:c>
      <x:c r="D40" s="2"/>
      <x:c r="E40" s="2"/>
      <x:c r="F40" s="2"/>
      <x:c r="G40" s="2"/>
      <x:c r="H40" s="2"/>
      <x:c r="I40" s="2"/>
      <x:c r="J40" s="2"/>
    </x:row>
    <x:row r="41" ht="21" customHeight="1">
      <x:c r="A41" s="2"/>
      <x:c r="B41" s="2"/>
      <x:c r="C41" s="2"/>
      <x:c r="D41" s="2"/>
      <x:c r="E41" s="2"/>
      <x:c r="F41" s="2"/>
      <x:c r="G41" s="2"/>
      <x:c r="H41" s="2"/>
      <x:c r="I41" s="2"/>
      <x:c r="J41" s="2"/>
    </x:row>
    <x:row r="42" ht="21" customHeight="1">
      <x:c r="A42" s="2"/>
      <x:c r="B42" s="2"/>
      <x:c r="C42" s="2" t="str">
        <x:v>Every numerical assumption is illustrative. No current market quote, legal conclusion or</x:v>
      </x:c>
      <x:c r="D42" s="2"/>
      <x:c r="E42" s="2"/>
      <x:c r="F42" s="2"/>
      <x:c r="G42" s="2"/>
      <x:c r="H42" s="2"/>
      <x:c r="I42" s="2"/>
      <x:c r="J42" s="2"/>
    </x:row>
    <x:row r="43" ht="21" customHeight="1">
      <x:c r="A43" s="2"/>
      <x:c r="B43" s="2"/>
      <x:c r="C43" s="2" t="str">
        <x:v>lender eligibility is represented.</x:v>
      </x:c>
      <x:c r="D43" s="2"/>
      <x:c r="E43" s="2"/>
      <x:c r="F43" s="2"/>
      <x:c r="G43" s="2"/>
      <x:c r="H43" s="2"/>
      <x:c r="I43" s="2"/>
      <x:c r="J43" s="2"/>
    </x:row>
    <x:row r="44" ht="21" customHeight="1">
      <x:c r="A44" s="2"/>
      <x:c r="B44" s="2"/>
      <x:c r="C44" s="2"/>
      <x:c r="D44" s="2"/>
      <x:c r="E44" s="2"/>
      <x:c r="F44" s="2"/>
      <x:c r="G44" s="2"/>
      <x:c r="H44" s="2"/>
      <x:c r="I44" s="2"/>
      <x:c r="J44" s="2"/>
    </x:row>
    <x:row r="45" ht="21" customHeight="1">
      <x:c r="A45" s="2"/>
      <x:c r="B45" s="2"/>
      <x:c r="C45" s="2" t="str">
        <x:v>NCF is a modeled cash measure after cash reserve deposits. An actual lender may adjust</x:v>
      </x:c>
      <x:c r="D45" s="2"/>
      <x:c r="E45" s="2"/>
      <x:c r="F45" s="2"/>
      <x:c r="G45" s="2"/>
      <x:c r="H45" s="2"/>
      <x:c r="I45" s="2"/>
      <x:c r="J45" s="2"/>
    </x:row>
    <x:row r="46" ht="21" customHeight="1">
      <x:c r="A46" s="2"/>
      <x:c r="B46" s="2"/>
      <x:c r="C46" s="2" t="str">
        <x:v>income, expenses, reserves, tax and business cash differently.</x:v>
      </x:c>
      <x:c r="D46" s="2"/>
      <x:c r="E46" s="2"/>
      <x:c r="F46" s="2"/>
      <x:c r="G46" s="2"/>
      <x:c r="H46" s="2"/>
      <x:c r="I46" s="2"/>
      <x:c r="J46" s="2"/>
    </x:row>
    <x:row r="47" ht="21" customHeight="1">
      <x:c r="A47" s="2"/>
      <x:c r="B47" s="2"/>
      <x:c r="C47" s="2"/>
      <x:c r="D47" s="2"/>
      <x:c r="E47" s="2"/>
      <x:c r="F47" s="2"/>
      <x:c r="G47" s="2"/>
      <x:c r="H47" s="2"/>
      <x:c r="I47" s="2"/>
      <x:c r="J47" s="2"/>
    </x:row>
    <x:row r="48" ht="21" customHeight="1">
      <x:c r="A48" s="2"/>
      <x:c r="B48" s="2"/>
      <x:c r="C48" s="2" t="str">
        <x:v>No tax return, appraisal, legal compliance, guaranty capacity or refinancing approval is</x:v>
      </x:c>
      <x:c r="D48" s="2"/>
      <x:c r="E48" s="2"/>
      <x:c r="F48" s="2"/>
      <x:c r="G48" s="2"/>
      <x:c r="H48" s="2"/>
      <x:c r="I48" s="2"/>
      <x:c r="J48" s="2"/>
    </x:row>
    <x:row r="49" ht="21" customHeight="1">
      <x:c r="A49" s="2"/>
      <x:c r="B49" s="2"/>
      <x:c r="C49" s="2" t="str">
        <x:v>established by the calculations.</x:v>
      </x:c>
      <x:c r="D49" s="2"/>
      <x:c r="E49" s="2"/>
      <x:c r="F49" s="2"/>
      <x:c r="G49" s="2"/>
      <x:c r="H49" s="2"/>
      <x:c r="I49" s="2"/>
      <x:c r="J49" s="2"/>
    </x:row>
    <x:row r="50" ht="21" customHeight="1">
      <x:c r="A50" s="2"/>
      <x:c r="B50" s="2"/>
      <x:c r="C50" s="2"/>
      <x:c r="D50" s="2"/>
      <x:c r="E50" s="2"/>
      <x:c r="F50" s="2"/>
      <x:c r="G50" s="2"/>
      <x:c r="H50" s="2"/>
      <x:c r="I50" s="2"/>
      <x:c r="J50" s="2"/>
    </x:row>
    <x:row r="51" ht="21" customHeight="1">
      <x:c r="A51" s="2"/>
      <x:c r="B51" s="2"/>
      <x:c r="C51" s="2" t="str">
        <x:v>Calculation methods and conventions are shown here. Check Review and replace</x:v>
      </x:c>
      <x:c r="D51" s="2"/>
      <x:c r="E51" s="2"/>
      <x:c r="F51" s="2"/>
      <x:c r="G51" s="2"/>
      <x:c r="H51" s="2"/>
      <x:c r="I51" s="2"/>
      <x:c r="J51" s="2"/>
    </x:row>
    <x:row r="52" ht="21" customHeight="1">
      <x:c r="A52" s="2"/>
      <x:c r="B52" s="2"/>
      <x:c r="C52" s="2" t="str">
        <x:v>illustrative inputs before relying on results.</x:v>
      </x:c>
      <x:c r="D52" s="2"/>
      <x:c r="E52" s="2"/>
      <x:c r="F52" s="2"/>
      <x:c r="G52" s="2"/>
      <x:c r="H52" s="2"/>
      <x:c r="I52" s="2"/>
      <x:c r="J52" s="2"/>
    </x:row>
    <x:row r="53" ht="21" customHeight="1">
      <x:c r="A53" s="2"/>
      <x:c r="B53" s="2"/>
      <x:c r="C53" s="2"/>
      <x:c r="D53" s="2"/>
      <x:c r="E53" s="2"/>
      <x:c r="F53" s="2"/>
      <x:c r="G53" s="2"/>
      <x:c r="H53" s="2"/>
      <x:c r="I53" s="2"/>
      <x:c r="J53" s="2"/>
    </x:row>
    <x:row r="54" ht="21" customHeight="1">
      <x:c r="A54" s="2"/>
      <x:c r="B54" s="2"/>
      <x:c r="C54" s="2"/>
      <x:c r="D54" s="2"/>
      <x:c r="E54" s="2"/>
      <x:c r="F54" s="2"/>
      <x:c r="G54" s="2"/>
      <x:c r="H54" s="2"/>
      <x:c r="I54" s="2"/>
      <x:c r="J54" s="2"/>
    </x:row>
    <x:row r="55" ht="21" customHeight="1">
      <x:c r="A55" s="2"/>
      <x:c r="B55" s="2"/>
      <x:c r="C55" s="2"/>
      <x:c r="D55" s="2"/>
      <x:c r="E55" s="2"/>
      <x:c r="F55" s="2"/>
      <x:c r="G55" s="2"/>
      <x:c r="H55" s="2"/>
      <x:c r="I55" s="2"/>
      <x:c r="J55" s="2"/>
    </x:row>
    <x:row r="56" ht="21" customHeight="1">
      <x:c r="A56" s="2"/>
      <x:c r="B56" s="2"/>
      <x:c r="C56" s="2"/>
      <x:c r="D56" s="2"/>
      <x:c r="E56" s="2"/>
      <x:c r="F56" s="2"/>
      <x:c r="G56" s="2"/>
      <x:c r="H56" s="2"/>
      <x:c r="I56" s="2"/>
      <x:c r="J56" s="2"/>
    </x:row>
    <x:row r="57" ht="21" customHeight="1">
      <x:c r="A57" s="2"/>
      <x:c r="B57" s="2"/>
      <x:c r="C57" s="2"/>
      <x:c r="D57" s="2"/>
      <x:c r="E57" s="2"/>
      <x:c r="F57" s="2"/>
      <x:c r="G57" s="2"/>
      <x:c r="H57" s="2"/>
      <x:c r="I57" s="2"/>
      <x:c r="J57" s="2"/>
    </x:row>
    <x:row r="58" ht="21" customHeight="1">
      <x:c r="A58" s="2"/>
      <x:c r="B58" s="2"/>
      <x:c r="C58" s="2"/>
      <x:c r="D58" s="2"/>
      <x:c r="E58" s="2"/>
      <x:c r="F58" s="2"/>
      <x:c r="G58" s="2"/>
      <x:c r="H58" s="2"/>
      <x:c r="I58" s="2"/>
      <x:c r="J58" s="2"/>
    </x:row>
    <x:row r="59" ht="21" customHeight="1">
      <x:c r="A59" s="2"/>
      <x:c r="B59" s="2"/>
      <x:c r="C59" s="2"/>
      <x:c r="D59" s="2"/>
      <x:c r="E59" s="2"/>
      <x:c r="F59" s="2"/>
      <x:c r="G59" s="2"/>
      <x:c r="H59" s="2"/>
      <x:c r="I59" s="2"/>
      <x:c r="J59" s="2"/>
    </x:row>
    <x:row r="60" ht="21" customHeight="1">
      <x:c r="A60" s="2"/>
      <x:c r="B60" s="2"/>
      <x:c r="C60" s="2"/>
      <x:c r="D60" s="2"/>
      <x:c r="E60" s="2"/>
      <x:c r="F60" s="2"/>
      <x:c r="G60" s="2"/>
      <x:c r="H60" s="2"/>
      <x:c r="I60" s="2"/>
      <x:c r="J60" s="2"/>
    </x:row>
  </x:sheetData>
  <x:conditionalFormatting sqref="D10:D16">
    <x:cfRule type="expression" dxfId="5" priority="1">
      <x:formula>ABS(D10)&gt;0.01</x:formula>
    </x:cfRule>
  </x:conditionalFormatting>
  <x:pageMargins left="0.7" right="0.7" top="0.75" bottom="0.75" header="0.3" footer="0.3"/>
</x:worksheet>
</file>