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2d70c7f99554da9" /></Relationships>
</file>

<file path=xl/workbook.xml><?xml version="1.0" encoding="utf-8"?>
<x:workbook xmlns:x="http://schemas.openxmlformats.org/spreadsheetml/2006/main">
  <x:sheets>
    <x:sheet xmlns:r="http://schemas.openxmlformats.org/officeDocument/2006/relationships" name="Summary" sheetId="1" r:id="Rc99ffb77815241d9"/>
    <x:sheet xmlns:r="http://schemas.openxmlformats.org/officeDocument/2006/relationships" name="Assumptions" sheetId="2" r:id="Rfbf2ea55acbb4f50"/>
    <x:sheet xmlns:r="http://schemas.openxmlformats.org/officeDocument/2006/relationships" name="Bay Turnover" sheetId="3" r:id="R99c4e35bf3324a3a"/>
    <x:sheet xmlns:r="http://schemas.openxmlformats.org/officeDocument/2006/relationships" name="Operations" sheetId="4" r:id="R713ca2e468204543"/>
    <x:sheet xmlns:r="http://schemas.openxmlformats.org/officeDocument/2006/relationships" name="Debt and Funding" sheetId="5" r:id="Re76faa1f1dbc4b53"/>
    <x:sheet xmlns:r="http://schemas.openxmlformats.org/officeDocument/2006/relationships" name="Review" sheetId="6" r:id="R0a19c3a2758d4423"/>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5">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4"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207" fontId="4"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7" fontId="4"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9639236137d489b" /><Relationship Type="http://schemas.openxmlformats.org/officeDocument/2006/relationships/theme" Target="/xl/theme/theme1.xml" Id="Rb585aeb3670a4ce7" /><Relationship Type="http://schemas.openxmlformats.org/officeDocument/2006/relationships/sharedStrings" Target="/xl/sharedStrings.xml" Id="Rb34b446861a743d4" /><Relationship Type="http://schemas.openxmlformats.org/officeDocument/2006/relationships/worksheet" Target="/xl/worksheets/sheet1.xml" Id="Rc99ffb77815241d9" /><Relationship Type="http://schemas.openxmlformats.org/officeDocument/2006/relationships/worksheet" Target="/xl/worksheets/sheet2.xml" Id="Rfbf2ea55acbb4f50" /><Relationship Type="http://schemas.openxmlformats.org/officeDocument/2006/relationships/worksheet" Target="/xl/worksheets/sheet3.xml" Id="R99c4e35bf3324a3a" /><Relationship Type="http://schemas.openxmlformats.org/officeDocument/2006/relationships/worksheet" Target="/xl/worksheets/sheet4.xml" Id="R713ca2e468204543" /><Relationship Type="http://schemas.openxmlformats.org/officeDocument/2006/relationships/worksheet" Target="/xl/worksheets/sheet5.xml" Id="Re76faa1f1dbc4b53" /><Relationship Type="http://schemas.openxmlformats.org/officeDocument/2006/relationships/worksheet" Target="/xl/worksheets/sheet6.xml" Id="R0a19c3a2758d442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Small-bay industrial and flex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Operating revenue</x:v>
      </x:c>
      <x:c r="D10" s="50" t="n">
        <x:f>'Operations'!E16</x:f>
        <x:v>774608.3333333334</x:v>
      </x:c>
      <x:c r="E10" s="2"/>
      <x:c r="F10" s="2"/>
      <x:c r="G10" s="71" t="n">
        <x:f>'Operations'!G9</x:f>
        <x:v>46388</x:v>
      </x:c>
      <x:c r="H10" s="72" t="n">
        <x:f>'Debt and Funding'!G36</x:f>
        <x:v>-6969.552083333336</x:v>
      </x:c>
      <x:c r="I10" s="72" t="n">
        <x:f>'Debt and Funding'!G37</x:f>
        <x:v>143030.44791666666</x:v>
      </x:c>
      <x:c r="J10" s="72" t="n">
        <x:f>'Debt and Funding'!G33</x:f>
        <x:v>4500000</x:v>
      </x:c>
      <x:c r="K10" s="2"/>
      <x:c r="L10" s="2"/>
    </x:row>
    <x:row r="11" ht="21" customHeight="1">
      <x:c r="A11" s="2"/>
      <x:c r="B11" s="2"/>
      <x:c r="C11" s="2" t="str">
        <x:v>Cash operating costs</x:v>
      </x:c>
      <x:c r="D11" s="50" t="n">
        <x:f>'Operations'!E21</x:f>
        <x:v>189159.99999999997</x:v>
      </x:c>
      <x:c r="E11" s="2"/>
      <x:c r="F11" s="2"/>
      <x:c r="G11" s="71" t="n">
        <x:f>'Operations'!H9</x:f>
        <x:v>46419</x:v>
      </x:c>
      <x:c r="H11" s="72" t="n">
        <x:f>'Debt and Funding'!H36</x:f>
        <x:v>-6266.406249999993</x:v>
      </x:c>
      <x:c r="I11" s="72" t="n">
        <x:f>'Debt and Funding'!H37</x:f>
        <x:v>136764.04166666666</x:v>
      </x:c>
      <x:c r="J11" s="72" t="n">
        <x:f>'Debt and Funding'!H33</x:f>
        <x:v>4500000</x:v>
      </x:c>
      <x:c r="K11" s="2"/>
      <x:c r="L11" s="2"/>
    </x:row>
    <x:row r="12" ht="21" customHeight="1">
      <x:c r="A12" s="2"/>
      <x:c r="B12" s="2"/>
      <x:c r="C12" s="2" t="str">
        <x:v>NOI / operating cash</x:v>
      </x:c>
      <x:c r="D12" s="50" t="n">
        <x:f>'Operations'!E22</x:f>
        <x:v>585448.3333333334</x:v>
      </x:c>
      <x:c r="E12" s="2"/>
      <x:c r="F12" s="2"/>
      <x:c r="G12" s="71" t="n">
        <x:f>'Operations'!I9</x:f>
        <x:v>46447</x:v>
      </x:c>
      <x:c r="H12" s="72" t="n">
        <x:f>'Debt and Funding'!I36</x:f>
        <x:v>-5563.260416666664</x:v>
      </x:c>
      <x:c r="I12" s="72" t="n">
        <x:f>'Debt and Funding'!I37</x:f>
        <x:v>131200.78125</x:v>
      </x:c>
      <x:c r="J12" s="72" t="n">
        <x:f>'Debt and Funding'!I33</x:f>
        <x:v>4500000</x:v>
      </x:c>
      <x:c r="K12" s="2"/>
      <x:c r="L12" s="2"/>
    </x:row>
    <x:row r="13" ht="21" customHeight="1">
      <x:c r="A13" s="2"/>
      <x:c r="B13" s="2"/>
      <x:c r="C13" s="2" t="str">
        <x:v>Annual reserve deposits</x:v>
      </x:c>
      <x:c r="D13" s="50" t="n">
        <x:f>'Operations'!E23</x:f>
        <x:v>23238.25</x:v>
      </x:c>
      <x:c r="E13" s="2"/>
      <x:c r="F13" s="2"/>
      <x:c r="G13" s="71" t="n">
        <x:f>'Operations'!J9</x:f>
        <x:v>46478</x:v>
      </x:c>
      <x:c r="H13" s="72" t="n">
        <x:f>'Debt and Funding'!J36</x:f>
        <x:v>-23375.843749999993</x:v>
      </x:c>
      <x:c r="I13" s="72" t="n">
        <x:f>'Debt and Funding'!J37</x:f>
        <x:v>107824.9375</x:v>
      </x:c>
      <x:c r="J13" s="72" t="n">
        <x:f>'Debt and Funding'!J33</x:f>
        <x:v>4500000</x:v>
      </x:c>
      <x:c r="K13" s="2"/>
      <x:c r="L13" s="2"/>
    </x:row>
    <x:row r="14" ht="21" customHeight="1">
      <x:c r="A14" s="2"/>
      <x:c r="B14" s="2"/>
      <x:c r="C14" s="2" t="str">
        <x:v>Cash NCF before debt and capital</x:v>
      </x:c>
      <x:c r="D14" s="50" t="n">
        <x:f>'Operations'!E24</x:f>
        <x:v>562210.0833333334</x:v>
      </x:c>
      <x:c r="E14" s="2"/>
      <x:c r="F14" s="2"/>
      <x:c r="G14" s="71" t="n">
        <x:f>'Operations'!K9</x:f>
        <x:v>46508</x:v>
      </x:c>
      <x:c r="H14" s="72" t="n">
        <x:f>'Debt and Funding'!K36</x:f>
        <x:v>-80172.69791666666</x:v>
      </x:c>
      <x:c r="I14" s="72" t="n">
        <x:f>'Debt and Funding'!K37</x:f>
        <x:v>27652.239583333343</x:v>
      </x:c>
      <x:c r="J14" s="72" t="n">
        <x:f>'Debt and Funding'!K33</x:f>
        <x:v>4500000</x:v>
      </x:c>
      <x:c r="K14" s="2"/>
      <x:c r="L14" s="2"/>
    </x:row>
    <x:row r="15" ht="21" customHeight="1">
      <x:c r="A15" s="2"/>
      <x:c r="B15" s="2"/>
      <x:c r="C15" s="2" t="str">
        <x:v>Annual underwritten NCF</x:v>
      </x:c>
      <x:c r="D15" s="50" t="n">
        <x:f>'Debt and Funding'!D9</x:f>
        <x:v>562210.0833333334</x:v>
      </x:c>
      <x:c r="E15" s="2"/>
      <x:c r="F15" s="2"/>
      <x:c r="G15" s="71" t="n">
        <x:f>'Operations'!L9</x:f>
        <x:v>46539</x:v>
      </x:c>
      <x:c r="H15" s="72" t="n">
        <x:f>'Debt and Funding'!L36</x:f>
        <x:v>-3453.8229166666642</x:v>
      </x:c>
      <x:c r="I15" s="72" t="n">
        <x:f>'Debt and Funding'!L37</x:f>
        <x:v>24198.41666666668</x:v>
      </x:c>
      <x:c r="J15" s="72" t="n">
        <x:f>'Debt and Funding'!L33</x:f>
        <x:v>4500000</x:v>
      </x:c>
      <x:c r="K15" s="2"/>
      <x:c r="L15" s="2"/>
    </x:row>
    <x:row r="16" ht="21" customHeight="1">
      <x:c r="A16" s="2"/>
      <x:c r="B16" s="2"/>
      <x:c r="C16" s="2" t="str">
        <x:v>DSCR loan capacity</x:v>
      </x:c>
      <x:c r="D16" s="50" t="n">
        <x:f>'Debt and Funding'!D11</x:f>
        <x:v>5550988.551041845</x:v>
      </x:c>
      <x:c r="E16" s="2"/>
      <x:c r="F16" s="2"/>
      <x:c r="G16" s="71" t="n">
        <x:f>'Operations'!M9</x:f>
        <x:v>46569</x:v>
      </x:c>
      <x:c r="H16" s="72" t="n">
        <x:f>'Debt and Funding'!M36</x:f>
        <x:v>-8759.999343977197</x:v>
      </x:c>
      <x:c r="I16" s="72" t="n">
        <x:f>'Debt and Funding'!M37</x:f>
        <x:v>15438.417322689482</x:v>
      </x:c>
      <x:c r="J16" s="72" t="n">
        <x:f>'Debt and Funding'!M33</x:f>
        <x:v>4493990.677739356</x:v>
      </x:c>
      <x:c r="K16" s="2"/>
      <x:c r="L16" s="2"/>
    </x:row>
    <x:row r="17" ht="21" customHeight="1">
      <x:c r="A17" s="2"/>
      <x:c r="B17" s="2"/>
      <x:c r="C17" s="2" t="str">
        <x:v>LTV loan capacity</x:v>
      </x:c>
      <x:c r="D17" s="50" t="n">
        <x:f>'Debt and Funding'!D12</x:f>
        <x:v>4550000</x:v>
      </x:c>
      <x:c r="E17" s="2"/>
      <x:c r="F17" s="2"/>
      <x:c r="G17" s="71" t="n">
        <x:f>'Operations'!N9</x:f>
        <x:v>46600</x:v>
      </x:c>
      <x:c r="H17" s="72" t="n">
        <x:f>'Debt and Funding'!N36</x:f>
        <x:v>-26572.58267731054</x:v>
      </x:c>
      <x:c r="I17" s="72" t="n">
        <x:f>'Debt and Funding'!N37</x:f>
        <x:v>-11134.165354621058</x:v>
      </x:c>
      <x:c r="J17" s="72" t="n">
        <x:f>'Debt and Funding'!N33</x:f>
        <x:v>4487948.804983133</x:v>
      </x:c>
      <x:c r="K17" s="2"/>
      <x:c r="L17" s="2"/>
    </x:row>
    <x:row r="18" ht="21" customHeight="1">
      <x:c r="A18" s="2"/>
      <x:c r="B18" s="2"/>
      <x:c r="C18" s="2" t="str">
        <x:v>Debt-yield loan capacity</x:v>
      </x:c>
      <x:c r="D18" s="50" t="n">
        <x:f>'Debt and Funding'!D13</x:f>
        <x:v>6246778.703703704</x:v>
      </x:c>
      <x:c r="E18" s="2"/>
      <x:c r="F18" s="2"/>
      <x:c r="G18" s="71" t="n">
        <x:f>'Operations'!O9</x:f>
        <x:v>46631</x:v>
      </x:c>
      <x:c r="H18" s="72" t="n">
        <x:f>'Debt and Funding'!O36</x:f>
        <x:v>-83369.43684397721</x:v>
      </x:c>
      <x:c r="I18" s="72" t="n">
        <x:f>'Debt and Funding'!O37</x:f>
        <x:v>-94503.60219859827</x:v>
      </x:c>
      <x:c r="J18" s="72" t="n">
        <x:f>'Debt and Funding'!O33</x:f>
        <x:v>4481874.2054161485</x:v>
      </x:c>
      <x:c r="K18" s="2"/>
      <x:c r="L18" s="2"/>
    </x:row>
    <x:row r="19" ht="21" customHeight="1">
      <x:c r="A19" s="2"/>
      <x:c r="B19" s="2"/>
      <x:c r="C19" s="58" t="str">
        <x:v>Sized loan</x:v>
      </x:c>
      <x:c r="D19" s="68" t="n">
        <x:f>'Debt and Funding'!D14</x:f>
        <x:v>4500000</x:v>
      </x:c>
      <x:c r="E19" s="2"/>
      <x:c r="F19" s="2"/>
      <x:c r="G19" s="71" t="n">
        <x:f>'Operations'!P9</x:f>
        <x:v>46661</x:v>
      </x:c>
      <x:c r="H19" s="72" t="n">
        <x:f>'Debt and Funding'!P36</x:f>
        <x:v>-44650.56184397719</x:v>
      </x:c>
      <x:c r="I19" s="72" t="n">
        <x:f>'Debt and Funding'!P37</x:f>
        <x:v>-139154.16404257546</x:v>
      </x:c>
      <x:c r="J19" s="72" t="n">
        <x:f>'Debt and Funding'!P33</x:f>
        <x:v>4475766.701768176</x:v>
      </x:c>
      <x:c r="K19" s="2"/>
      <x:c r="L19" s="2"/>
    </x:row>
    <x:row r="20" ht="21" customHeight="1">
      <x:c r="A20" s="2"/>
      <x:c r="B20" s="2"/>
      <x:c r="C20" s="2" t="str">
        <x:v>Binding constraint (ties may exist)</x:v>
      </x:c>
      <x:c r="D20" s="69" t="str">
        <x:f>'Debt and Funding'!D15</x:f>
        <x:v>Requested ceiling</x:v>
      </x:c>
      <x:c r="E20" s="2"/>
      <x:c r="F20" s="2"/>
      <x:c r="G20" s="71" t="n">
        <x:f>'Operations'!Q9</x:f>
        <x:v>46692</x:v>
      </x:c>
      <x:c r="H20" s="72" t="n">
        <x:f>'Debt and Funding'!Q36</x:f>
        <x:v>-5947.416010643883</x:v>
      </x:c>
      <x:c r="I20" s="72" t="n">
        <x:f>'Debt and Funding'!Q37</x:f>
        <x:v>-145101.58005321934</x:v>
      </x:c>
      <x:c r="J20" s="72" t="n">
        <x:f>'Debt and Funding'!Q33</x:f>
        <x:v>4469626.115808776</x:v>
      </x:c>
      <x:c r="K20" s="2"/>
      <x:c r="L20" s="2"/>
    </x:row>
    <x:row r="21" ht="21" customHeight="1">
      <x:c r="A21" s="2"/>
      <x:c r="B21" s="2"/>
      <x:c r="C21" s="2" t="str">
        <x:v>First-year debt service</x:v>
      </x:c>
      <x:c r="D21" s="50" t="n">
        <x:f>'Debt and Funding'!D43</x:f>
        <x:v>328555.9335638633</x:v>
      </x:c>
      <x:c r="E21" s="2"/>
      <x:c r="F21" s="2"/>
      <x:c r="G21" s="71" t="n">
        <x:f>'Operations'!R9</x:f>
        <x:v>46722</x:v>
      </x:c>
      <x:c r="H21" s="72" t="n">
        <x:f>'Debt and Funding'!R36</x:f>
        <x:v>-5244.27017731054</x:v>
      </x:c>
      <x:c r="I21" s="72" t="n">
        <x:f>'Debt and Funding'!R37</x:f>
        <x:v>-150345.85023052988</x:v>
      </x:c>
      <x:c r="J21" s="72" t="n">
        <x:f>'Debt and Funding'!R33</x:f>
        <x:v>4463452.268342096</x:v>
      </x:c>
      <x:c r="K21" s="2"/>
      <x:c r="L21" s="2"/>
    </x:row>
    <x:row r="22" ht="21" customHeight="1">
      <x:c r="A22" s="2"/>
      <x:c r="B22" s="2"/>
      <x:c r="C22" s="2" t="str">
        <x:v>First-year underwritten DSCR</x:v>
      </x:c>
      <x:c r="D22" s="70" t="n">
        <x:f>'Debt and Funding'!D44</x:f>
        <x:v>1.711154862537442</x:v>
      </x:c>
      <x:c r="E22" s="2"/>
      <x:c r="F22" s="2"/>
      <x:c r="G22" s="2"/>
      <x:c r="H22" s="2"/>
      <x:c r="I22" s="2"/>
      <x:c r="J22" s="2"/>
      <x:c r="K22" s="2"/>
      <x:c r="L22" s="2"/>
    </x:row>
    <x:row r="23" ht="21" customHeight="1">
      <x:c r="A23" s="2"/>
      <x:c r="B23" s="2"/>
      <x:c r="C23" s="2" t="str">
        <x:v>Signed closing equity requirement</x:v>
      </x:c>
      <x:c r="D23" s="50" t="n">
        <x:f>'Debt and Funding'!D18</x:f>
        <x:v>2400000</x:v>
      </x:c>
      <x:c r="E23" s="2"/>
      <x:c r="F23" s="2"/>
      <x:c r="G23" s="2"/>
      <x:c r="H23" s="2"/>
      <x:c r="I23" s="2"/>
      <x:c r="J23" s="2"/>
      <x:c r="K23" s="2"/>
      <x:c r="L23" s="2"/>
    </x:row>
    <x:row r="24" ht="21" customHeight="1">
      <x:c r="A24" s="2"/>
      <x:c r="B24" s="2"/>
      <x:c r="C24" s="2" t="str">
        <x:v>Available equity less closing need</x:v>
      </x:c>
      <x:c r="D24" s="50" t="n">
        <x:f>'Debt and Funding'!D19</x:f>
        <x:v>1100000</x:v>
      </x:c>
      <x:c r="E24" s="2"/>
      <x:c r="F24" s="2"/>
      <x:c r="G24" s="2"/>
      <x:c r="H24" s="2"/>
      <x:c r="I24" s="2"/>
      <x:c r="J24" s="2"/>
      <x:c r="K24" s="2"/>
      <x:c r="L24" s="2"/>
    </x:row>
    <x:row r="25" ht="21" customHeight="1">
      <x:c r="A25" s="2"/>
      <x:c r="B25" s="2"/>
      <x:c r="C25" s="2" t="str">
        <x:v>Additional operating cash need</x:v>
      </x:c>
      <x:c r="D25" s="50" t="n">
        <x:f>'Debt and Funding'!D46</x:f>
        <x:v>150345.85023052988</x:v>
      </x:c>
      <x:c r="E25" s="2"/>
      <x:c r="F25" s="2"/>
      <x:c r="G25" s="2" t="str">
        <x:v>Start with Assumptions D5: 1 Base or 2 Downside.</x:v>
      </x:c>
      <x:c r="H25" s="2"/>
      <x:c r="I25" s="2"/>
      <x:c r="J25" s="2"/>
      <x:c r="K25" s="2"/>
      <x:c r="L25" s="2"/>
    </x:row>
    <x:row r="26" ht="21" customHeight="1">
      <x:c r="A26" s="2"/>
      <x:c r="B26" s="2"/>
      <x:c r="C26" s="58" t="str">
        <x:v>Sponsor cash after all modeled needs</x:v>
      </x:c>
      <x:c r="D26" s="68" t="n">
        <x:f>'Debt and Funding'!D47</x:f>
        <x:v>949654.1497694701</x:v>
      </x:c>
      <x:c r="E26" s="2"/>
      <x:c r="F26" s="2"/>
      <x:c r="G26" s="2"/>
      <x:c r="H26" s="2"/>
      <x:c r="I26" s="2"/>
      <x:c r="J26" s="2"/>
      <x:c r="K26" s="2"/>
      <x:c r="L26" s="2"/>
    </x:row>
    <x:row r="27" ht="21" customHeight="1">
      <x:c r="A27" s="2"/>
      <x:c r="B27" s="2"/>
      <x:c r="C27" s="2" t="str">
        <x:v>Year-end principal</x:v>
      </x:c>
      <x:c r="D27" s="50" t="n">
        <x:f>'Debt and Funding'!D45</x:f>
        <x:v>4463452.268342096</x:v>
      </x:c>
      <x:c r="E27" s="2"/>
      <x:c r="F27" s="2"/>
      <x:c r="G27" s="2" t="str">
        <x:v>Edit blue cells in Bay Turnover and Assumptions.</x:v>
      </x:c>
      <x:c r="H27" s="2"/>
      <x:c r="I27" s="2"/>
      <x:c r="J27" s="2"/>
      <x:c r="K27" s="2"/>
      <x:c r="L27" s="2"/>
    </x:row>
    <x:row r="28" ht="21" customHeight="1">
      <x:c r="A28" s="2"/>
      <x:c r="B28" s="2"/>
      <x:c r="C28" s="2" t="str">
        <x:v>Principal due at maturity</x:v>
      </x:c>
      <x:c r="D28" s="50" t="n">
        <x:f>'Debt and Funding'!D20</x:f>
        <x:v>4124224.372816724</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Property value</x:v>
      </x:c>
      <x:c r="D10" s="26" t="n">
        <x:f>IF($D$5=1,IF(ISNUMBER(D11),IF(AND(D11&gt;=0,D11&lt;=1000000000000),D11,"n.a."),"n.a."),IF($D$5=2,IF(ISNUMBER(D12),IF(AND(D12&gt;=0,D12&lt;=1000000000000),D12,"n.a."),"n.a."),"n.a."))</x:f>
        <x:v>7000000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7000000</x:v>
      </x:c>
      <x:c r="E11" s="2"/>
      <x:c r="F11" s="2"/>
      <x:c r="G11" s="2"/>
      <x:c r="H11" s="2"/>
      <x:c r="I11" s="2"/>
      <x:c r="J11" s="2"/>
    </x:row>
    <x:row r="12" ht="35" customHeight="1">
      <x:c r="A12" s="2"/>
      <x:c r="B12" s="2"/>
      <x:c r="C12" s="28" t="str">
        <x:v>Downside</x:v>
      </x:c>
      <x:c r="D12" s="27" t="n">
        <x:v>6100000</x:v>
      </x:c>
      <x:c r="E12" s="2"/>
      <x:c r="F12" s="2"/>
      <x:c r="G12" s="42" t="str">
        <x:v>Missing or invalid selected inputs return n.a.; a valid zero remains zero.</x:v>
      </x:c>
      <x:c r="H12" s="2"/>
      <x:c r="I12" s="2"/>
      <x:c r="J12" s="2"/>
    </x:row>
    <x:row r="13" ht="21" customHeight="1">
      <x:c r="A13" s="2"/>
      <x:c r="B13" s="2"/>
      <x:c r="C13" s="24" t="str">
        <x:v>Acquisition price</x:v>
      </x:c>
      <x:c r="D13" s="26" t="n">
        <x:f>IF($D$5=1,IF(ISNUMBER(D14),IF(AND(D14&gt;=0,D14&lt;=1000000000000),D14,"n.a."),"n.a."),IF($D$5=2,IF(ISNUMBER(D15),IF(AND(D15&gt;=0,D15&lt;=1000000000000),D15,"n.a."),"n.a."),"n.a."))</x:f>
        <x:v>6500000</x:v>
      </x:c>
      <x:c r="E13" s="22" t="str">
        <x:v>USD</x:v>
      </x:c>
      <x:c r="F13" s="2"/>
      <x:c r="G13" s="2"/>
      <x:c r="H13" s="2"/>
      <x:c r="I13" s="2"/>
      <x:c r="J13" s="2"/>
    </x:row>
    <x:row r="14" ht="35" customHeight="1">
      <x:c r="A14" s="2"/>
      <x:c r="B14" s="2"/>
      <x:c r="C14" s="28" t="str">
        <x:v>Base</x:v>
      </x:c>
      <x:c r="D14" s="27" t="n">
        <x:v>6500000</x:v>
      </x:c>
      <x:c r="E14" s="2"/>
      <x:c r="F14" s="2"/>
      <x:c r="G14" s="42" t="str">
        <x:v>Downside inputs feed the same model. Change D5 to recalculate.</x:v>
      </x:c>
      <x:c r="H14" s="2"/>
      <x:c r="I14" s="2"/>
      <x:c r="J14" s="2"/>
    </x:row>
    <x:row r="15" ht="21" customHeight="1">
      <x:c r="A15" s="2"/>
      <x:c r="B15" s="2"/>
      <x:c r="C15" s="28" t="str">
        <x:v>Downside</x:v>
      </x:c>
      <x:c r="D15" s="27" t="n">
        <x:v>6500000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150000</x:v>
      </x:c>
      <x:c r="E16" s="22" t="str">
        <x:v>USD</x:v>
      </x:c>
      <x:c r="F16" s="2"/>
      <x:c r="G16" s="42" t="str">
        <x:v>NCF adjustment changes sizing only, not cash actually available.</x:v>
      </x:c>
      <x:c r="H16" s="2"/>
      <x:c r="I16" s="2"/>
      <x:c r="J16" s="2"/>
    </x:row>
    <x:row r="17" ht="21" customHeight="1">
      <x:c r="A17" s="2"/>
      <x:c r="B17" s="2"/>
      <x:c r="C17" s="28" t="str">
        <x:v>Base</x:v>
      </x:c>
      <x:c r="D17" s="27" t="n">
        <x:v>150000</x:v>
      </x:c>
      <x:c r="E17" s="2"/>
      <x:c r="F17" s="2"/>
      <x:c r="G17" s="2"/>
      <x:c r="H17" s="2"/>
      <x:c r="I17" s="2"/>
      <x:c r="J17" s="2"/>
    </x:row>
    <x:row r="18" ht="35" customHeight="1">
      <x:c r="A18" s="2"/>
      <x:c r="B18" s="2"/>
      <x:c r="C18" s="28" t="str">
        <x:v>Downside</x:v>
      </x:c>
      <x:c r="D18" s="27" t="n">
        <x:v>150000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100000</x:v>
      </x:c>
      <x:c r="E19" s="22" t="str">
        <x:v>USD</x:v>
      </x:c>
      <x:c r="F19" s="2"/>
      <x:c r="G19" s="2"/>
      <x:c r="H19" s="2"/>
      <x:c r="I19" s="2"/>
      <x:c r="J19" s="2"/>
    </x:row>
    <x:row r="20" ht="35" customHeight="1">
      <x:c r="A20" s="2"/>
      <x:c r="B20" s="2"/>
      <x:c r="C20" s="28" t="str">
        <x:v>Base</x:v>
      </x:c>
      <x:c r="D20" s="27" t="n">
        <x:v>100000</x:v>
      </x:c>
      <x:c r="E20" s="2"/>
      <x:c r="F20" s="2"/>
      <x:c r="G20" s="42" t="str">
        <x:v>Restricted closing reserves are not available operating cash.</x:v>
      </x:c>
      <x:c r="H20" s="2"/>
      <x:c r="I20" s="2"/>
      <x:c r="J20" s="2"/>
    </x:row>
    <x:row r="21" ht="21" customHeight="1">
      <x:c r="A21" s="2"/>
      <x:c r="B21" s="2"/>
      <x:c r="C21" s="28" t="str">
        <x:v>Downside</x:v>
      </x:c>
      <x:c r="D21" s="27" t="n">
        <x:v>100000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150000</x:v>
      </x:c>
      <x:c r="E22" s="22" t="str">
        <x:v>USD</x:v>
      </x:c>
      <x:c r="F22" s="2"/>
      <x:c r="G22" s="42" t="str">
        <x:v>Opening operating cash is funded in closing uses exactly once.</x:v>
      </x:c>
      <x:c r="H22" s="2"/>
      <x:c r="I22" s="2"/>
      <x:c r="J22" s="2"/>
    </x:row>
    <x:row r="23" ht="21" customHeight="1">
      <x:c r="A23" s="2"/>
      <x:c r="B23" s="2"/>
      <x:c r="C23" s="28" t="str">
        <x:v>Base</x:v>
      </x:c>
      <x:c r="D23" s="27" t="n">
        <x:v>150000</x:v>
      </x:c>
      <x:c r="E23" s="2"/>
      <x:c r="F23" s="2"/>
      <x:c r="G23" s="2"/>
      <x:c r="H23" s="2"/>
      <x:c r="I23" s="2"/>
      <x:c r="J23" s="2"/>
    </x:row>
    <x:row r="24" ht="35" customHeight="1">
      <x:c r="A24" s="2"/>
      <x:c r="B24" s="2"/>
      <x:c r="C24" s="28" t="str">
        <x:v>Downside</x:v>
      </x:c>
      <x:c r="D24" s="27" t="n">
        <x:v>150000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3500000</x:v>
      </x:c>
      <x:c r="E25" s="22" t="str">
        <x:v>USD</x:v>
      </x:c>
      <x:c r="F25" s="2"/>
      <x:c r="G25" s="2"/>
      <x:c r="H25" s="2"/>
      <x:c r="I25" s="2"/>
      <x:c r="J25" s="2"/>
    </x:row>
    <x:row r="26" ht="21" customHeight="1">
      <x:c r="A26" s="2"/>
      <x:c r="B26" s="2"/>
      <x:c r="C26" s="28" t="str">
        <x:v>Base</x:v>
      </x:c>
      <x:c r="D26" s="27" t="n">
        <x:v>3500000</x:v>
      </x:c>
      <x:c r="E26" s="2"/>
      <x:c r="F26" s="2"/>
      <x:c r="G26" s="2"/>
      <x:c r="H26" s="2"/>
      <x:c r="I26" s="2"/>
      <x:c r="J26" s="2"/>
    </x:row>
    <x:row r="27" ht="21" customHeight="1">
      <x:c r="A27" s="2"/>
      <x:c r="B27" s="2"/>
      <x:c r="C27" s="28" t="str">
        <x:v>Downside</x:v>
      </x:c>
      <x:c r="D27" s="27" t="n">
        <x:v>3500000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4500000</x:v>
      </x:c>
      <x:c r="E28" s="22" t="str">
        <x:v>USD</x:v>
      </x:c>
      <x:c r="F28" s="2"/>
      <x:c r="G28" s="2"/>
      <x:c r="H28" s="2"/>
      <x:c r="I28" s="2"/>
      <x:c r="J28" s="2"/>
    </x:row>
    <x:row r="29" ht="21" customHeight="1">
      <x:c r="A29" s="2"/>
      <x:c r="B29" s="2"/>
      <x:c r="C29" s="28" t="str">
        <x:v>Base</x:v>
      </x:c>
      <x:c r="D29" s="27" t="n">
        <x:v>4500000</x:v>
      </x:c>
      <x:c r="E29" s="2"/>
      <x:c r="F29" s="2"/>
      <x:c r="G29" s="2"/>
      <x:c r="H29" s="2"/>
      <x:c r="I29" s="2"/>
      <x:c r="J29" s="2"/>
    </x:row>
    <x:row r="30" ht="75" customHeight="1">
      <x:c r="A30" s="2"/>
      <x:c r="B30" s="2"/>
      <x:c r="C30" s="28" t="str">
        <x:v>Downside</x:v>
      </x:c>
      <x:c r="D30" s="27" t="n">
        <x:v>4500000</x:v>
      </x:c>
      <x:c r="E30" s="2"/>
      <x:c r="F30" s="2"/>
      <x:c r="G30" s="42" t="str">
        <x:v>Area rolls from opening leases through move-outs and new leases. New leased area is capped by vacancy; leasing costs apply only to accepted new area. Midmonth turnover determines average rent-producing and vacant area.</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Annual rent is a weighted cash base-rent assumption for the occupied bays. Reflect free rent in the rent or collection input once. This aggregate schedule does not reproduce individual lease steps or options.</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Monthly per-area operating costs exclude fixed property costs. Tenant improvements, leasing commissions, restoration and other capital are below NCF. Do not repeat the same vendor cost in more than one line.</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The model excludes separately billed tenant reimbursements and tenant business income. If reimbursements matter, reconcile gross property costs and recovered amounts separately before using the lender NCF adjustment. Bay suitability, tenant concentration and environmental exposure require separate evidence.</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21" customHeight="1">
      <x:c r="A38" s="2"/>
      <x:c r="B38" s="2"/>
      <x:c r="C38" s="28" t="str">
        <x:v>Base</x:v>
      </x:c>
      <x:c r="D38" s="16" t="n">
        <x:v>6</x:v>
      </x:c>
      <x:c r="E38" s="2"/>
      <x:c r="F38" s="2"/>
      <x:c r="G38" s="2"/>
      <x:c r="H38" s="2"/>
      <x:c r="I38" s="2"/>
      <x:c r="J38" s="2"/>
    </x:row>
    <x:row r="39" ht="21" customHeight="1">
      <x:c r="A39" s="2"/>
      <x:c r="B39" s="2"/>
      <x:c r="C39" s="28" t="str">
        <x:v>Downside</x:v>
      </x:c>
      <x:c r="D39" s="16" t="n">
        <x:v>6</x:v>
      </x:c>
      <x:c r="E39" s="2"/>
      <x:c r="F39" s="2"/>
      <x:c r="G39" s="2"/>
      <x:c r="H39" s="2"/>
      <x:c r="I39" s="2"/>
      <x:c r="J39" s="2"/>
    </x:row>
    <x:row r="40" ht="21" customHeight="1">
      <x:c r="A40" s="2"/>
      <x:c r="B40" s="2"/>
      <x:c r="C40" s="24" t="str">
        <x:v>Loan term (months)</x:v>
      </x:c>
      <x:c r="D40" s="37" t="n">
        <x:f>IF($D$5=1,IF(ISNUMBER(D41),IF(AND(D41&gt;=12,D41&lt;=600,D41=INT(D41)),D41,"n.a."),"n.a."),IF($D$5=2,IF(ISNUMBER(D42),IF(AND(D42&gt;=12,D42&lt;=600,D42=INT(D42)),D42,"n.a."),"n.a."),"n.a."))</x:f>
        <x:v>60</x:v>
      </x:c>
      <x:c r="E40" s="22" t="str">
        <x:v>months</x:v>
      </x:c>
      <x:c r="F40" s="2"/>
      <x:c r="G40" s="2"/>
      <x:c r="H40" s="2"/>
      <x:c r="I40" s="2"/>
      <x:c r="J40" s="2"/>
    </x:row>
    <x:row r="41" ht="21" customHeight="1">
      <x:c r="A41" s="2"/>
      <x:c r="B41" s="2"/>
      <x:c r="C41" s="28" t="str">
        <x:v>Base</x:v>
      </x:c>
      <x:c r="D41" s="16" t="n">
        <x:v>60</x:v>
      </x:c>
      <x:c r="E41" s="2"/>
      <x:c r="F41" s="2"/>
      <x:c r="G41" s="2"/>
      <x:c r="H41" s="2"/>
      <x:c r="I41" s="2"/>
      <x:c r="J41" s="2"/>
    </x:row>
    <x:row r="42" ht="21" customHeight="1">
      <x:c r="A42" s="2"/>
      <x:c r="B42" s="2"/>
      <x:c r="C42" s="28" t="str">
        <x:v>Downside</x:v>
      </x:c>
      <x:c r="D42" s="16" t="n">
        <x:v>60</x:v>
      </x:c>
      <x:c r="E42" s="2"/>
      <x:c r="F42" s="2"/>
      <x:c r="G42" s="2"/>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21" customHeight="1">
      <x:c r="A44" s="2"/>
      <x:c r="B44" s="2"/>
      <x:c r="C44" s="34" t="str">
        <x:v>Base</x:v>
      </x:c>
      <x:c r="D44" s="35" t="n">
        <x:v>0.65</x:v>
      </x:c>
      <x:c r="E44" s="36"/>
      <x:c r="F44" s="2"/>
      <x:c r="G44" s="2"/>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-25000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140000</x:v>
      </x:c>
      <x:c r="E55" s="22" t="str">
        <x:v>USD</x:v>
      </x:c>
      <x:c r="F55" s="2"/>
      <x:c r="G55" s="2"/>
      <x:c r="H55" s="2"/>
      <x:c r="I55" s="2"/>
      <x:c r="J55" s="2"/>
    </x:row>
    <x:row r="56" ht="21" customHeight="1">
      <x:c r="A56" s="2"/>
      <x:c r="B56" s="2"/>
      <x:c r="C56" s="28" t="str">
        <x:v>Base</x:v>
      </x:c>
      <x:c r="D56" s="27" t="n">
        <x:v>140000</x:v>
      </x:c>
      <x:c r="E56" s="2"/>
      <x:c r="F56" s="2"/>
      <x:c r="G56" s="2"/>
      <x:c r="H56" s="2"/>
      <x:c r="I56" s="2"/>
      <x:c r="J56" s="2"/>
    </x:row>
    <x:row r="57" ht="21" customHeight="1">
      <x:c r="A57" s="2"/>
      <x:c r="B57" s="2"/>
      <x:c r="C57" s="28" t="str">
        <x:v>Downside</x:v>
      </x:c>
      <x:c r="D57" s="27" t="n">
        <x:v>160000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0.03</x:v>
      </x:c>
      <x:c r="E58" s="33" t="str">
        <x:v>%</x:v>
      </x:c>
      <x:c r="F58" s="2"/>
      <x:c r="G58" s="2"/>
      <x:c r="H58" s="2"/>
      <x:c r="I58" s="2"/>
      <x:c r="J58" s="2"/>
    </x:row>
    <x:row r="59" ht="21" customHeight="1">
      <x:c r="A59" s="2"/>
      <x:c r="B59" s="2"/>
      <x:c r="C59" s="34" t="str">
        <x:v>Base</x:v>
      </x:c>
      <x:c r="D59" s="35" t="n">
        <x:v>0.03</x:v>
      </x:c>
      <x:c r="E59" s="36"/>
      <x:c r="F59" s="2"/>
      <x:c r="G59" s="2"/>
      <x:c r="H59" s="2"/>
      <x:c r="I59" s="2"/>
      <x:c r="J59" s="2"/>
    </x:row>
    <x:row r="60" ht="21" customHeight="1">
      <x:c r="A60" s="2"/>
      <x:c r="B60" s="2"/>
      <x:c r="C60" s="34" t="str">
        <x:v>Downside</x:v>
      </x:c>
      <x:c r="D60" s="35" t="n">
        <x:v>0.04</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Total rentable bay area</x:v>
      </x:c>
      <x:c r="D73" s="37" t="n">
        <x:f>IF($D$5=1,IF(ISNUMBER(D74),IF(AND(D74&gt;=0,D74&lt;=1000000000000),D74,"n.a."),"n.a."),IF($D$5=2,IF(ISNUMBER(D75),IF(AND(D75&gt;=0,D75&lt;=1000000000000),D75,"n.a."),"n.a."),"n.a."))</x:f>
        <x:v>50000</x:v>
      </x:c>
      <x:c r="E73" s="22" t="str">
        <x:v>sf</x:v>
      </x:c>
      <x:c r="F73" s="2"/>
      <x:c r="G73" s="2"/>
      <x:c r="H73" s="2"/>
      <x:c r="I73" s="2"/>
      <x:c r="J73" s="2"/>
    </x:row>
    <x:row r="74" ht="21" customHeight="1">
      <x:c r="A74" s="2"/>
      <x:c r="B74" s="2"/>
      <x:c r="C74" s="28" t="str">
        <x:v>Base</x:v>
      </x:c>
      <x:c r="D74" s="16" t="n">
        <x:v>50000</x:v>
      </x:c>
      <x:c r="E74" s="2"/>
      <x:c r="F74" s="2"/>
      <x:c r="G74" s="2"/>
      <x:c r="H74" s="2"/>
      <x:c r="I74" s="2"/>
      <x:c r="J74" s="2"/>
    </x:row>
    <x:row r="75" ht="21" customHeight="1">
      <x:c r="A75" s="2"/>
      <x:c r="B75" s="2"/>
      <x:c r="C75" s="28" t="str">
        <x:v>Downside</x:v>
      </x:c>
      <x:c r="D75" s="16" t="n">
        <x:v>50000</x:v>
      </x:c>
      <x:c r="E75" s="2"/>
      <x:c r="F75" s="2"/>
      <x:c r="G75" s="2"/>
      <x:c r="H75" s="2"/>
      <x:c r="I75" s="2"/>
      <x:c r="J75" s="2"/>
    </x:row>
    <x:row r="76" ht="21" customHeight="1">
      <x:c r="A76" s="2"/>
      <x:c r="B76" s="2"/>
      <x:c r="C76" s="24" t="str">
        <x:v>Opening leased bay area</x:v>
      </x:c>
      <x:c r="D76" s="37" t="n">
        <x:f>IF($D$5=1,IF(ISNUMBER(D77),IF(AND(D77&gt;=0,D77&lt;=1000000000000),D77,"n.a."),"n.a."),IF($D$5=2,IF(ISNUMBER(D78),IF(AND(D78&gt;=0,D78&lt;=1000000000000),D78,"n.a."),"n.a."),"n.a."))</x:f>
        <x:v>43000</x:v>
      </x:c>
      <x:c r="E76" s="22" t="str">
        <x:v>sf</x:v>
      </x:c>
      <x:c r="F76" s="2"/>
      <x:c r="G76" s="2"/>
      <x:c r="H76" s="2"/>
      <x:c r="I76" s="2"/>
      <x:c r="J76" s="2"/>
    </x:row>
    <x:row r="77" ht="21" customHeight="1">
      <x:c r="A77" s="2"/>
      <x:c r="B77" s="2"/>
      <x:c r="C77" s="28" t="str">
        <x:v>Base</x:v>
      </x:c>
      <x:c r="D77" s="16" t="n">
        <x:v>43000</x:v>
      </x:c>
      <x:c r="E77" s="2"/>
      <x:c r="F77" s="2"/>
      <x:c r="G77" s="2"/>
      <x:c r="H77" s="2"/>
      <x:c r="I77" s="2"/>
      <x:c r="J77" s="2"/>
    </x:row>
    <x:row r="78" ht="21" customHeight="1">
      <x:c r="A78" s="2"/>
      <x:c r="B78" s="2"/>
      <x:c r="C78" s="28" t="str">
        <x:v>Downside</x:v>
      </x:c>
      <x:c r="D78" s="16" t="n">
        <x:v>39000</x:v>
      </x:c>
      <x:c r="E78" s="2"/>
      <x:c r="F78" s="2"/>
      <x:c r="G78" s="2"/>
      <x:c r="H78" s="2"/>
      <x:c r="I78" s="2"/>
      <x:c r="J78" s="2"/>
    </x:row>
    <x:row r="79" ht="21" customHeight="1">
      <x:c r="A79" s="2"/>
      <x:c r="B79" s="2"/>
      <x:c r="C79" s="2"/>
      <x:c r="D79" s="2"/>
      <x:c r="E79" s="2"/>
      <x:c r="F79" s="2"/>
      <x:c r="G79" s="2"/>
      <x:c r="H79" s="2"/>
      <x:c r="I79" s="2"/>
      <x:c r="J79" s="2"/>
    </x:row>
    <x:row r="80" ht="21" customHeight="1">
      <x:c r="A80" s="2"/>
      <x:c r="B80" s="2"/>
      <x:c r="C80" s="2"/>
      <x:c r="D80" s="2"/>
      <x:c r="E80" s="2"/>
      <x:c r="F80" s="2"/>
      <x:c r="G80" s="2"/>
      <x:c r="H80" s="2"/>
      <x:c r="I80" s="2"/>
      <x:c r="J80" s="2"/>
    </x:row>
    <x:row r="81" ht="21" customHeight="1">
      <x:c r="A81" s="2"/>
      <x:c r="B81" s="2"/>
      <x:c r="C81" s="2"/>
      <x:c r="D81" s="2"/>
      <x:c r="E81" s="2"/>
      <x:c r="F81" s="2"/>
      <x:c r="G81" s="2"/>
      <x:c r="H81" s="2"/>
      <x:c r="I81" s="2"/>
      <x:c r="J81" s="2"/>
    </x:row>
    <x:row r="82" ht="21" customHeight="1">
      <x:c r="A82" s="2"/>
      <x:c r="B82" s="2"/>
      <x:c r="C82" s="2"/>
      <x:c r="D82" s="2"/>
      <x:c r="E82" s="2"/>
      <x:c r="F82" s="2"/>
      <x:c r="G82" s="2"/>
      <x:c r="H82" s="2"/>
      <x:c r="I82" s="2"/>
      <x:c r="J82" s="2"/>
    </x:row>
    <x:row r="83" ht="21" customHeight="1">
      <x:c r="A83" s="2"/>
      <x:c r="B83" s="2"/>
      <x:c r="C83" s="2"/>
      <x:c r="D83" s="2"/>
      <x:c r="E83" s="2"/>
      <x:c r="F83" s="2"/>
      <x:c r="G83" s="2"/>
      <x:c r="H83" s="2"/>
      <x:c r="I83" s="2"/>
      <x:c r="J83" s="2"/>
    </x:row>
    <x:row r="84" ht="21" customHeight="1">
      <x:c r="A84" s="2"/>
      <x:c r="B84" s="2"/>
      <x:c r="C84" s="2"/>
      <x:c r="D84" s="2"/>
      <x:c r="E84" s="2"/>
      <x:c r="F84" s="2"/>
      <x:c r="G84" s="2"/>
      <x:c r="H84" s="2"/>
      <x:c r="I84" s="2"/>
      <x:c r="J84" s="2"/>
    </x:row>
  </x:sheetData>
  <x:dataValidations count="48">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Bay Turnover</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Expiring / vacated area</x:v>
      </x:c>
      <x:c r="E9" s="21" t="str">
        <x:v>Requested new leased area</x:v>
      </x:c>
      <x:c r="F9" s="21" t="str">
        <x:v>Annual base rent / occupied sf</x:v>
      </x:c>
      <x:c r="G9" s="21" t="str">
        <x:v>Rent collection fraction</x:v>
      </x:c>
      <x:c r="H9" s="21" t="str">
        <x:v>Monthly cost / vacant sf</x:v>
      </x:c>
      <x:c r="I9" s="21" t="str">
        <x:v>Monthly cost / occupied sf</x:v>
      </x:c>
      <x:c r="J9" s="21" t="str">
        <x:v>Tenant improvement / new sf</x:v>
      </x:c>
      <x:c r="K9" s="21" t="str">
        <x:v>Leasing commission / new sf</x:v>
      </x:c>
      <x:c r="L9" s="21" t="str">
        <x:v>Restoration / vacated sf</x:v>
      </x:c>
      <x:c r="M9" s="21" t="str">
        <x:v>Other property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1000</x:v>
      </x:c>
      <x:c r="E10" s="16" t="n">
        <x:v>1500</x:v>
      </x:c>
      <x:c r="F10" s="27" t="n">
        <x:v>17.5</x:v>
      </x:c>
      <x:c r="G10" s="30" t="n">
        <x:v>0.98</x:v>
      </x:c>
      <x:c r="H10" s="27" t="n">
        <x:v>0.1</x:v>
      </x:c>
      <x:c r="I10" s="27" t="n">
        <x:v>0.08</x:v>
      </x:c>
      <x:c r="J10" s="27" t="n">
        <x:v>12</x:v>
      </x:c>
      <x:c r="K10" s="27" t="n">
        <x:v>2.5</x:v>
      </x:c>
      <x:c r="L10" s="27" t="n">
        <x:v>3</x:v>
      </x:c>
      <x:c r="M10" s="27" t="n">
        <x:v>2000</x:v>
      </x:c>
      <x:c r="N10" s="13" t="str">
        <x:f>IF(AND(IF(ISNUMBER(D10),AND(D10&gt;=0,D10&lt;=1000000000000),FALSE),IF(ISNUMBER(E10),AND(E10&gt;=0,E10&lt;=1000000000000),FALSE),IF(ISNUMBER(F10),AND(F10&gt;=0,F10&lt;=1000000000000),FALSE),IF(ISNUMBER(G10),AND(G10&gt;=0,G10&lt;=1),FALSE),IF(ISNUMBER(H10),AND(H10&gt;=0,H10&lt;=1000000000000),FALSE),IF(ISNUMBER(I10),AND(I10&gt;=0,I10&lt;=1000000000000),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1000</x:v>
      </x:c>
      <x:c r="E11" s="16" t="n">
        <x:v>1500</x:v>
      </x:c>
      <x:c r="F11" s="27" t="n">
        <x:v>17.5</x:v>
      </x:c>
      <x:c r="G11" s="30" t="n">
        <x:v>0.98</x:v>
      </x:c>
      <x:c r="H11" s="27" t="n">
        <x:v>0.1</x:v>
      </x:c>
      <x:c r="I11" s="27" t="n">
        <x:v>0.08</x:v>
      </x:c>
      <x:c r="J11" s="27" t="n">
        <x:v>12</x:v>
      </x:c>
      <x:c r="K11" s="27" t="n">
        <x:v>2.5</x:v>
      </x:c>
      <x:c r="L11" s="27" t="n">
        <x:v>3</x:v>
      </x:c>
      <x:c r="M11" s="27" t="n">
        <x:v>2000</x:v>
      </x:c>
      <x:c r="N11" s="13" t="str">
        <x:f>IF(AND(IF(ISNUMBER(D11),AND(D11&gt;=0,D11&lt;=1000000000000),FALSE),IF(ISNUMBER(E11),AND(E11&gt;=0,E11&lt;=1000000000000),FALSE),IF(ISNUMBER(F11),AND(F11&gt;=0,F11&lt;=1000000000000),FALSE),IF(ISNUMBER(G11),AND(G11&gt;=0,G11&lt;=1),FALSE),IF(ISNUMBER(H11),AND(H11&gt;=0,H11&lt;=1000000000000),FALSE),IF(ISNUMBER(I11),AND(I11&gt;=0,I11&lt;=1000000000000),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1000</x:v>
      </x:c>
      <x:c r="E12" s="16" t="n">
        <x:v>1500</x:v>
      </x:c>
      <x:c r="F12" s="27" t="n">
        <x:v>17.5</x:v>
      </x:c>
      <x:c r="G12" s="30" t="n">
        <x:v>0.98</x:v>
      </x:c>
      <x:c r="H12" s="27" t="n">
        <x:v>0.1</x:v>
      </x:c>
      <x:c r="I12" s="27" t="n">
        <x:v>0.08</x:v>
      </x:c>
      <x:c r="J12" s="27" t="n">
        <x:v>12</x:v>
      </x:c>
      <x:c r="K12" s="27" t="n">
        <x:v>2.5</x:v>
      </x:c>
      <x:c r="L12" s="27" t="n">
        <x:v>3</x:v>
      </x:c>
      <x:c r="M12" s="27" t="n">
        <x:v>2000</x:v>
      </x:c>
      <x:c r="N12" s="13" t="str">
        <x:f>IF(AND(IF(ISNUMBER(D12),AND(D12&gt;=0,D12&lt;=1000000000000),FALSE),IF(ISNUMBER(E12),AND(E12&gt;=0,E12&lt;=1000000000000),FALSE),IF(ISNUMBER(F12),AND(F12&gt;=0,F12&lt;=1000000000000),FALSE),IF(ISNUMBER(G12),AND(G12&gt;=0,G12&lt;=1),FALSE),IF(ISNUMBER(H12),AND(H12&gt;=0,H12&lt;=1000000000000),FALSE),IF(ISNUMBER(I12),AND(I12&gt;=0,I12&lt;=1000000000000),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6000</x:v>
      </x:c>
      <x:c r="E13" s="16" t="n">
        <x:v>1500</x:v>
      </x:c>
      <x:c r="F13" s="27" t="n">
        <x:v>17.5</x:v>
      </x:c>
      <x:c r="G13" s="30" t="n">
        <x:v>0.98</x:v>
      </x:c>
      <x:c r="H13" s="27" t="n">
        <x:v>0.1</x:v>
      </x:c>
      <x:c r="I13" s="27" t="n">
        <x:v>0.08</x:v>
      </x:c>
      <x:c r="J13" s="27" t="n">
        <x:v>12</x:v>
      </x:c>
      <x:c r="K13" s="27" t="n">
        <x:v>2.5</x:v>
      </x:c>
      <x:c r="L13" s="27" t="n">
        <x:v>3</x:v>
      </x:c>
      <x:c r="M13" s="27" t="n">
        <x:v>2000</x:v>
      </x:c>
      <x:c r="N13" s="13" t="str">
        <x:f>IF(AND(IF(ISNUMBER(D13),AND(D13&gt;=0,D13&lt;=1000000000000),FALSE),IF(ISNUMBER(E13),AND(E13&gt;=0,E13&lt;=1000000000000),FALSE),IF(ISNUMBER(F13),AND(F13&gt;=0,F13&lt;=1000000000000),FALSE),IF(ISNUMBER(G13),AND(G13&gt;=0,G13&lt;=1),FALSE),IF(ISNUMBER(H13),AND(H13&gt;=0,H13&lt;=1000000000000),FALSE),IF(ISNUMBER(I13),AND(I13&gt;=0,I13&lt;=1000000000000),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1000</x:v>
      </x:c>
      <x:c r="E14" s="16" t="n">
        <x:v>6500</x:v>
      </x:c>
      <x:c r="F14" s="27" t="n">
        <x:v>17.5</x:v>
      </x:c>
      <x:c r="G14" s="30" t="n">
        <x:v>0.98</x:v>
      </x:c>
      <x:c r="H14" s="27" t="n">
        <x:v>0.1</x:v>
      </x:c>
      <x:c r="I14" s="27" t="n">
        <x:v>0.08</x:v>
      </x:c>
      <x:c r="J14" s="27" t="n">
        <x:v>12</x:v>
      </x:c>
      <x:c r="K14" s="27" t="n">
        <x:v>2.5</x:v>
      </x:c>
      <x:c r="L14" s="27" t="n">
        <x:v>3</x:v>
      </x:c>
      <x:c r="M14" s="27" t="n">
        <x:v>2000</x:v>
      </x:c>
      <x:c r="N14" s="13" t="str">
        <x:f>IF(AND(IF(ISNUMBER(D14),AND(D14&gt;=0,D14&lt;=1000000000000),FALSE),IF(ISNUMBER(E14),AND(E14&gt;=0,E14&lt;=1000000000000),FALSE),IF(ISNUMBER(F14),AND(F14&gt;=0,F14&lt;=1000000000000),FALSE),IF(ISNUMBER(G14),AND(G14&gt;=0,G14&lt;=1),FALSE),IF(ISNUMBER(H14),AND(H14&gt;=0,H14&lt;=1000000000000),FALSE),IF(ISNUMBER(I14),AND(I14&gt;=0,I14&lt;=1000000000000),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1000</x:v>
      </x:c>
      <x:c r="E15" s="16" t="n">
        <x:v>1500</x:v>
      </x:c>
      <x:c r="F15" s="27" t="n">
        <x:v>17.5</x:v>
      </x:c>
      <x:c r="G15" s="30" t="n">
        <x:v>0.98</x:v>
      </x:c>
      <x:c r="H15" s="27" t="n">
        <x:v>0.1</x:v>
      </x:c>
      <x:c r="I15" s="27" t="n">
        <x:v>0.08</x:v>
      </x:c>
      <x:c r="J15" s="27" t="n">
        <x:v>12</x:v>
      </x:c>
      <x:c r="K15" s="27" t="n">
        <x:v>2.5</x:v>
      </x:c>
      <x:c r="L15" s="27" t="n">
        <x:v>3</x:v>
      </x:c>
      <x:c r="M15" s="27" t="n">
        <x:v>2000</x:v>
      </x:c>
      <x:c r="N15" s="13" t="str">
        <x:f>IF(AND(IF(ISNUMBER(D15),AND(D15&gt;=0,D15&lt;=1000000000000),FALSE),IF(ISNUMBER(E15),AND(E15&gt;=0,E15&lt;=1000000000000),FALSE),IF(ISNUMBER(F15),AND(F15&gt;=0,F15&lt;=1000000000000),FALSE),IF(ISNUMBER(G15),AND(G15&gt;=0,G15&lt;=1),FALSE),IF(ISNUMBER(H15),AND(H15&gt;=0,H15&lt;=1000000000000),FALSE),IF(ISNUMBER(I15),AND(I15&gt;=0,I15&lt;=1000000000000),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1000</x:v>
      </x:c>
      <x:c r="E16" s="16" t="n">
        <x:v>1500</x:v>
      </x:c>
      <x:c r="F16" s="27" t="n">
        <x:v>17.5</x:v>
      </x:c>
      <x:c r="G16" s="30" t="n">
        <x:v>0.98</x:v>
      </x:c>
      <x:c r="H16" s="27" t="n">
        <x:v>0.1</x:v>
      </x:c>
      <x:c r="I16" s="27" t="n">
        <x:v>0.08</x:v>
      </x:c>
      <x:c r="J16" s="27" t="n">
        <x:v>12</x:v>
      </x:c>
      <x:c r="K16" s="27" t="n">
        <x:v>2.5</x:v>
      </x:c>
      <x:c r="L16" s="27" t="n">
        <x:v>3</x:v>
      </x:c>
      <x:c r="M16" s="27" t="n">
        <x:v>2000</x:v>
      </x:c>
      <x:c r="N16" s="13" t="str">
        <x:f>IF(AND(IF(ISNUMBER(D16),AND(D16&gt;=0,D16&lt;=1000000000000),FALSE),IF(ISNUMBER(E16),AND(E16&gt;=0,E16&lt;=1000000000000),FALSE),IF(ISNUMBER(F16),AND(F16&gt;=0,F16&lt;=1000000000000),FALSE),IF(ISNUMBER(G16),AND(G16&gt;=0,G16&lt;=1),FALSE),IF(ISNUMBER(H16),AND(H16&gt;=0,H16&lt;=1000000000000),FALSE),IF(ISNUMBER(I16),AND(I16&gt;=0,I16&lt;=1000000000000),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6000</x:v>
      </x:c>
      <x:c r="E17" s="16" t="n">
        <x:v>1500</x:v>
      </x:c>
      <x:c r="F17" s="27" t="n">
        <x:v>17.5</x:v>
      </x:c>
      <x:c r="G17" s="30" t="n">
        <x:v>0.98</x:v>
      </x:c>
      <x:c r="H17" s="27" t="n">
        <x:v>0.1</x:v>
      </x:c>
      <x:c r="I17" s="27" t="n">
        <x:v>0.08</x:v>
      </x:c>
      <x:c r="J17" s="27" t="n">
        <x:v>12</x:v>
      </x:c>
      <x:c r="K17" s="27" t="n">
        <x:v>2.5</x:v>
      </x:c>
      <x:c r="L17" s="27" t="n">
        <x:v>3</x:v>
      </x:c>
      <x:c r="M17" s="27" t="n">
        <x:v>2000</x:v>
      </x:c>
      <x:c r="N17" s="13" t="str">
        <x:f>IF(AND(IF(ISNUMBER(D17),AND(D17&gt;=0,D17&lt;=1000000000000),FALSE),IF(ISNUMBER(E17),AND(E17&gt;=0,E17&lt;=1000000000000),FALSE),IF(ISNUMBER(F17),AND(F17&gt;=0,F17&lt;=1000000000000),FALSE),IF(ISNUMBER(G17),AND(G17&gt;=0,G17&lt;=1),FALSE),IF(ISNUMBER(H17),AND(H17&gt;=0,H17&lt;=1000000000000),FALSE),IF(ISNUMBER(I17),AND(I17&gt;=0,I17&lt;=1000000000000),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1000</x:v>
      </x:c>
      <x:c r="E18" s="16" t="n">
        <x:v>6500</x:v>
      </x:c>
      <x:c r="F18" s="27" t="n">
        <x:v>17.5</x:v>
      </x:c>
      <x:c r="G18" s="30" t="n">
        <x:v>0.98</x:v>
      </x:c>
      <x:c r="H18" s="27" t="n">
        <x:v>0.1</x:v>
      </x:c>
      <x:c r="I18" s="27" t="n">
        <x:v>0.08</x:v>
      </x:c>
      <x:c r="J18" s="27" t="n">
        <x:v>12</x:v>
      </x:c>
      <x:c r="K18" s="27" t="n">
        <x:v>2.5</x:v>
      </x:c>
      <x:c r="L18" s="27" t="n">
        <x:v>3</x:v>
      </x:c>
      <x:c r="M18" s="27" t="n">
        <x:v>2000</x:v>
      </x:c>
      <x:c r="N18" s="13" t="str">
        <x:f>IF(AND(IF(ISNUMBER(D18),AND(D18&gt;=0,D18&lt;=1000000000000),FALSE),IF(ISNUMBER(E18),AND(E18&gt;=0,E18&lt;=1000000000000),FALSE),IF(ISNUMBER(F18),AND(F18&gt;=0,F18&lt;=1000000000000),FALSE),IF(ISNUMBER(G18),AND(G18&gt;=0,G18&lt;=1),FALSE),IF(ISNUMBER(H18),AND(H18&gt;=0,H18&lt;=1000000000000),FALSE),IF(ISNUMBER(I18),AND(I18&gt;=0,I18&lt;=1000000000000),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1000</x:v>
      </x:c>
      <x:c r="E19" s="16" t="n">
        <x:v>1500</x:v>
      </x:c>
      <x:c r="F19" s="27" t="n">
        <x:v>17.5</x:v>
      </x:c>
      <x:c r="G19" s="30" t="n">
        <x:v>0.98</x:v>
      </x:c>
      <x:c r="H19" s="27" t="n">
        <x:v>0.1</x:v>
      </x:c>
      <x:c r="I19" s="27" t="n">
        <x:v>0.08</x:v>
      </x:c>
      <x:c r="J19" s="27" t="n">
        <x:v>12</x:v>
      </x:c>
      <x:c r="K19" s="27" t="n">
        <x:v>2.5</x:v>
      </x:c>
      <x:c r="L19" s="27" t="n">
        <x:v>3</x:v>
      </x:c>
      <x:c r="M19" s="27" t="n">
        <x:v>40000</x:v>
      </x:c>
      <x:c r="N19" s="13" t="str">
        <x:f>IF(AND(IF(ISNUMBER(D19),AND(D19&gt;=0,D19&lt;=1000000000000),FALSE),IF(ISNUMBER(E19),AND(E19&gt;=0,E19&lt;=1000000000000),FALSE),IF(ISNUMBER(F19),AND(F19&gt;=0,F19&lt;=1000000000000),FALSE),IF(ISNUMBER(G19),AND(G19&gt;=0,G19&lt;=1),FALSE),IF(ISNUMBER(H19),AND(H19&gt;=0,H19&lt;=1000000000000),FALSE),IF(ISNUMBER(I19),AND(I19&gt;=0,I19&lt;=1000000000000),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1000</x:v>
      </x:c>
      <x:c r="E20" s="16" t="n">
        <x:v>1500</x:v>
      </x:c>
      <x:c r="F20" s="27" t="n">
        <x:v>17.5</x:v>
      </x:c>
      <x:c r="G20" s="30" t="n">
        <x:v>0.98</x:v>
      </x:c>
      <x:c r="H20" s="27" t="n">
        <x:v>0.1</x:v>
      </x:c>
      <x:c r="I20" s="27" t="n">
        <x:v>0.08</x:v>
      </x:c>
      <x:c r="J20" s="27" t="n">
        <x:v>12</x:v>
      </x:c>
      <x:c r="K20" s="27" t="n">
        <x:v>2.5</x:v>
      </x:c>
      <x:c r="L20" s="27" t="n">
        <x:v>3</x:v>
      </x:c>
      <x:c r="M20" s="27" t="n">
        <x:v>2000</x:v>
      </x:c>
      <x:c r="N20" s="13" t="str">
        <x:f>IF(AND(IF(ISNUMBER(D20),AND(D20&gt;=0,D20&lt;=1000000000000),FALSE),IF(ISNUMBER(E20),AND(E20&gt;=0,E20&lt;=1000000000000),FALSE),IF(ISNUMBER(F20),AND(F20&gt;=0,F20&lt;=1000000000000),FALSE),IF(ISNUMBER(G20),AND(G20&gt;=0,G20&lt;=1),FALSE),IF(ISNUMBER(H20),AND(H20&gt;=0,H20&lt;=1000000000000),FALSE),IF(ISNUMBER(I20),AND(I20&gt;=0,I20&lt;=1000000000000),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1000</x:v>
      </x:c>
      <x:c r="E21" s="16" t="n">
        <x:v>1500</x:v>
      </x:c>
      <x:c r="F21" s="27" t="n">
        <x:v>17.5</x:v>
      </x:c>
      <x:c r="G21" s="30" t="n">
        <x:v>0.98</x:v>
      </x:c>
      <x:c r="H21" s="27" t="n">
        <x:v>0.1</x:v>
      </x:c>
      <x:c r="I21" s="27" t="n">
        <x:v>0.08</x:v>
      </x:c>
      <x:c r="J21" s="27" t="n">
        <x:v>12</x:v>
      </x:c>
      <x:c r="K21" s="27" t="n">
        <x:v>2.5</x:v>
      </x:c>
      <x:c r="L21" s="27" t="n">
        <x:v>3</x:v>
      </x:c>
      <x:c r="M21" s="27" t="n">
        <x:v>2000</x:v>
      </x:c>
      <x:c r="N21" s="13" t="str">
        <x:f>IF(AND(IF(ISNUMBER(D21),AND(D21&gt;=0,D21&lt;=1000000000000),FALSE),IF(ISNUMBER(E21),AND(E21&gt;=0,E21&lt;=1000000000000),FALSE),IF(ISNUMBER(F21),AND(F21&gt;=0,F21&lt;=1000000000000),FALSE),IF(ISNUMBER(G21),AND(G21&gt;=0,G21&lt;=1),FALSE),IF(ISNUMBER(H21),AND(H21&gt;=0,H21&lt;=1000000000000),FALSE),IF(ISNUMBER(I21),AND(I21&gt;=0,I21&lt;=1000000000000),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USD unless labeled. Monthly cash convention; capital and debt are below NCF.</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Opening leased area</x:v>
      </x:c>
      <x:c r="D10" s="2" t="str">
        <x:v>sf avg</x:v>
      </x:c>
      <x:c r="E10" s="49" t="n">
        <x:f>IF(COUNT(G10:R10)=12,AVERAGE(G10:R10),"n.a.")</x:f>
        <x:v>44916.666666666664</x:v>
      </x:c>
      <x:c r="F10" s="2"/>
      <x:c r="G10" s="48" t="n">
        <x:f>IF(AND(ISNUMBER('Assumptions'!$D$73),ISNUMBER('Assumptions'!$D$76)),MIN('Assumptions'!$D$73,'Assumptions'!$D$76),"n.a.")</x:f>
        <x:v>43000</x:v>
      </x:c>
      <x:c r="H10" s="48" t="n">
        <x:f>IF(AND(ISNUMBER(G13)),G13,"n.a.")</x:f>
        <x:v>43500</x:v>
      </x:c>
      <x:c r="I10" s="48" t="n">
        <x:f>IF(AND(ISNUMBER(H13)),H13,"n.a.")</x:f>
        <x:v>44000</x:v>
      </x:c>
      <x:c r="J10" s="48" t="n">
        <x:f>IF(AND(ISNUMBER(I13)),I13,"n.a.")</x:f>
        <x:v>44500</x:v>
      </x:c>
      <x:c r="K10" s="48" t="n">
        <x:f>IF(AND(ISNUMBER(J13)),J13,"n.a.")</x:f>
        <x:v>40000</x:v>
      </x:c>
      <x:c r="L10" s="48" t="n">
        <x:f>IF(AND(ISNUMBER(K13)),K13,"n.a.")</x:f>
        <x:v>45500</x:v>
      </x:c>
      <x:c r="M10" s="48" t="n">
        <x:f>IF(AND(ISNUMBER(L13)),L13,"n.a.")</x:f>
        <x:v>46000</x:v>
      </x:c>
      <x:c r="N10" s="48" t="n">
        <x:f>IF(AND(ISNUMBER(M13)),M13,"n.a.")</x:f>
        <x:v>46500</x:v>
      </x:c>
      <x:c r="O10" s="48" t="n">
        <x:f>IF(AND(ISNUMBER(N13)),N13,"n.a.")</x:f>
        <x:v>42000</x:v>
      </x:c>
      <x:c r="P10" s="48" t="n">
        <x:f>IF(AND(ISNUMBER(O13)),O13,"n.a.")</x:f>
        <x:v>47500</x:v>
      </x:c>
      <x:c r="Q10" s="48" t="n">
        <x:f>IF(AND(ISNUMBER(P13)),P13,"n.a.")</x:f>
        <x:v>48000</x:v>
      </x:c>
      <x:c r="R10" s="48" t="n">
        <x:f>IF(AND(ISNUMBER(Q13)),Q13,"n.a.")</x:f>
        <x:v>48500</x:v>
      </x:c>
    </x:row>
    <x:row r="11" ht="21" customHeight="1">
      <x:c r="A11" s="2"/>
      <x:c r="B11" s="2"/>
      <x:c r="C11" s="2" t="str">
        <x:v>Area vacated during month</x:v>
      </x:c>
      <x:c r="D11" s="2" t="str">
        <x:v>sf</x:v>
      </x:c>
      <x:c r="E11" s="49" t="n">
        <x:f>IF(COUNT(G11:R11)=12,SUM(G11:R11),"n.a.")</x:f>
        <x:v>22000</x:v>
      </x:c>
      <x:c r="F11" s="2"/>
      <x:c r="G11" s="48" t="n">
        <x:f>IF(AND('Bay Turnover'!N10="OK"),IF(AND(ISNUMBER(G10),ISNUMBER('Bay Turnover'!$D$10)),MIN(G10,'Bay Turnover'!$D$10),"n.a."),"n.a.")</x:f>
        <x:v>1000</x:v>
      </x:c>
      <x:c r="H11" s="48" t="n">
        <x:f>IF(AND('Bay Turnover'!N11="OK"),IF(AND(ISNUMBER(H10),ISNUMBER('Bay Turnover'!$D$11)),MIN(H10,'Bay Turnover'!$D$11),"n.a."),"n.a.")</x:f>
        <x:v>1000</x:v>
      </x:c>
      <x:c r="I11" s="48" t="n">
        <x:f>IF(AND('Bay Turnover'!N12="OK"),IF(AND(ISNUMBER(I10),ISNUMBER('Bay Turnover'!$D$12)),MIN(I10,'Bay Turnover'!$D$12),"n.a."),"n.a.")</x:f>
        <x:v>1000</x:v>
      </x:c>
      <x:c r="J11" s="48" t="n">
        <x:f>IF(AND('Bay Turnover'!N13="OK"),IF(AND(ISNUMBER(J10),ISNUMBER('Bay Turnover'!$D$13)),MIN(J10,'Bay Turnover'!$D$13),"n.a."),"n.a.")</x:f>
        <x:v>6000</x:v>
      </x:c>
      <x:c r="K11" s="48" t="n">
        <x:f>IF(AND('Bay Turnover'!N14="OK"),IF(AND(ISNUMBER(K10),ISNUMBER('Bay Turnover'!$D$14)),MIN(K10,'Bay Turnover'!$D$14),"n.a."),"n.a.")</x:f>
        <x:v>1000</x:v>
      </x:c>
      <x:c r="L11" s="48" t="n">
        <x:f>IF(AND('Bay Turnover'!N15="OK"),IF(AND(ISNUMBER(L10),ISNUMBER('Bay Turnover'!$D$15)),MIN(L10,'Bay Turnover'!$D$15),"n.a."),"n.a.")</x:f>
        <x:v>1000</x:v>
      </x:c>
      <x:c r="M11" s="48" t="n">
        <x:f>IF(AND('Bay Turnover'!N16="OK"),IF(AND(ISNUMBER(M10),ISNUMBER('Bay Turnover'!$D$16)),MIN(M10,'Bay Turnover'!$D$16),"n.a."),"n.a.")</x:f>
        <x:v>1000</x:v>
      </x:c>
      <x:c r="N11" s="48" t="n">
        <x:f>IF(AND('Bay Turnover'!N17="OK"),IF(AND(ISNUMBER(N10),ISNUMBER('Bay Turnover'!$D$17)),MIN(N10,'Bay Turnover'!$D$17),"n.a."),"n.a.")</x:f>
        <x:v>6000</x:v>
      </x:c>
      <x:c r="O11" s="48" t="n">
        <x:f>IF(AND('Bay Turnover'!N18="OK"),IF(AND(ISNUMBER(O10),ISNUMBER('Bay Turnover'!$D$18)),MIN(O10,'Bay Turnover'!$D$18),"n.a."),"n.a.")</x:f>
        <x:v>1000</x:v>
      </x:c>
      <x:c r="P11" s="48" t="n">
        <x:f>IF(AND('Bay Turnover'!N19="OK"),IF(AND(ISNUMBER(P10),ISNUMBER('Bay Turnover'!$D$19)),MIN(P10,'Bay Turnover'!$D$19),"n.a."),"n.a.")</x:f>
        <x:v>1000</x:v>
      </x:c>
      <x:c r="Q11" s="48" t="n">
        <x:f>IF(AND('Bay Turnover'!N20="OK"),IF(AND(ISNUMBER(Q10),ISNUMBER('Bay Turnover'!$D$20)),MIN(Q10,'Bay Turnover'!$D$20),"n.a."),"n.a.")</x:f>
        <x:v>1000</x:v>
      </x:c>
      <x:c r="R11" s="48" t="n">
        <x:f>IF(AND('Bay Turnover'!N21="OK"),IF(AND(ISNUMBER(R10),ISNUMBER('Bay Turnover'!$D$21)),MIN(R10,'Bay Turnover'!$D$21),"n.a."),"n.a.")</x:f>
        <x:v>1000</x:v>
      </x:c>
    </x:row>
    <x:row r="12" ht="21" customHeight="1">
      <x:c r="A12" s="2"/>
      <x:c r="B12" s="2"/>
      <x:c r="C12" s="2" t="str">
        <x:v>Accepted new leased area</x:v>
      </x:c>
      <x:c r="D12" s="2" t="str">
        <x:v>sf</x:v>
      </x:c>
      <x:c r="E12" s="49" t="n">
        <x:f>IF(COUNT(G12:R12)=12,SUM(G12:R12),"n.a.")</x:f>
        <x:v>28000</x:v>
      </x:c>
      <x:c r="F12" s="2"/>
      <x:c r="G12" s="48" t="n">
        <x:f>IF(AND('Bay Turnover'!N10="OK"),IF(AND(ISNUMBER('Assumptions'!$D$73),ISNUMBER(G10),ISNUMBER(G11),ISNUMBER('Bay Turnover'!$E$10),ISNUMBER('Assumptions'!$D$61)),MIN(MAX(0,'Assumptions'!$D$73-G10+G11),'Bay Turnover'!$E$10*'Assumptions'!$D$61),"n.a."),"n.a.")</x:f>
        <x:v>1500</x:v>
      </x:c>
      <x:c r="H12" s="48" t="n">
        <x:f>IF(AND('Bay Turnover'!N11="OK"),IF(AND(ISNUMBER('Assumptions'!$D$73),ISNUMBER(H10),ISNUMBER(H11),ISNUMBER('Bay Turnover'!$E$11),ISNUMBER('Assumptions'!$D$61)),MIN(MAX(0,'Assumptions'!$D$73-H10+H11),'Bay Turnover'!$E$11*'Assumptions'!$D$61),"n.a."),"n.a.")</x:f>
        <x:v>1500</x:v>
      </x:c>
      <x:c r="I12" s="48" t="n">
        <x:f>IF(AND('Bay Turnover'!N12="OK"),IF(AND(ISNUMBER('Assumptions'!$D$73),ISNUMBER(I10),ISNUMBER(I11),ISNUMBER('Bay Turnover'!$E$12),ISNUMBER('Assumptions'!$D$61)),MIN(MAX(0,'Assumptions'!$D$73-I10+I11),'Bay Turnover'!$E$12*'Assumptions'!$D$61),"n.a."),"n.a.")</x:f>
        <x:v>1500</x:v>
      </x:c>
      <x:c r="J12" s="48" t="n">
        <x:f>IF(AND('Bay Turnover'!N13="OK"),IF(AND(ISNUMBER('Assumptions'!$D$73),ISNUMBER(J10),ISNUMBER(J11),ISNUMBER('Bay Turnover'!$E$13),ISNUMBER('Assumptions'!$D$61)),MIN(MAX(0,'Assumptions'!$D$73-J10+J11),'Bay Turnover'!$E$13*'Assumptions'!$D$61),"n.a."),"n.a.")</x:f>
        <x:v>1500</x:v>
      </x:c>
      <x:c r="K12" s="48" t="n">
        <x:f>IF(AND('Bay Turnover'!N14="OK"),IF(AND(ISNUMBER('Assumptions'!$D$73),ISNUMBER(K10),ISNUMBER(K11),ISNUMBER('Bay Turnover'!$E$14),ISNUMBER('Assumptions'!$D$61)),MIN(MAX(0,'Assumptions'!$D$73-K10+K11),'Bay Turnover'!$E$14*'Assumptions'!$D$61),"n.a."),"n.a.")</x:f>
        <x:v>6500</x:v>
      </x:c>
      <x:c r="L12" s="48" t="n">
        <x:f>IF(AND('Bay Turnover'!N15="OK"),IF(AND(ISNUMBER('Assumptions'!$D$73),ISNUMBER(L10),ISNUMBER(L11),ISNUMBER('Bay Turnover'!$E$15),ISNUMBER('Assumptions'!$D$61)),MIN(MAX(0,'Assumptions'!$D$73-L10+L11),'Bay Turnover'!$E$15*'Assumptions'!$D$61),"n.a."),"n.a.")</x:f>
        <x:v>1500</x:v>
      </x:c>
      <x:c r="M12" s="48" t="n">
        <x:f>IF(AND('Bay Turnover'!N16="OK"),IF(AND(ISNUMBER('Assumptions'!$D$73),ISNUMBER(M10),ISNUMBER(M11),ISNUMBER('Bay Turnover'!$E$16),ISNUMBER('Assumptions'!$D$61)),MIN(MAX(0,'Assumptions'!$D$73-M10+M11),'Bay Turnover'!$E$16*'Assumptions'!$D$61),"n.a."),"n.a.")</x:f>
        <x:v>1500</x:v>
      </x:c>
      <x:c r="N12" s="48" t="n">
        <x:f>IF(AND('Bay Turnover'!N17="OK"),IF(AND(ISNUMBER('Assumptions'!$D$73),ISNUMBER(N10),ISNUMBER(N11),ISNUMBER('Bay Turnover'!$E$17),ISNUMBER('Assumptions'!$D$61)),MIN(MAX(0,'Assumptions'!$D$73-N10+N11),'Bay Turnover'!$E$17*'Assumptions'!$D$61),"n.a."),"n.a.")</x:f>
        <x:v>1500</x:v>
      </x:c>
      <x:c r="O12" s="48" t="n">
        <x:f>IF(AND('Bay Turnover'!N18="OK"),IF(AND(ISNUMBER('Assumptions'!$D$73),ISNUMBER(O10),ISNUMBER(O11),ISNUMBER('Bay Turnover'!$E$18),ISNUMBER('Assumptions'!$D$61)),MIN(MAX(0,'Assumptions'!$D$73-O10+O11),'Bay Turnover'!$E$18*'Assumptions'!$D$61),"n.a."),"n.a.")</x:f>
        <x:v>6500</x:v>
      </x:c>
      <x:c r="P12" s="48" t="n">
        <x:f>IF(AND('Bay Turnover'!N19="OK"),IF(AND(ISNUMBER('Assumptions'!$D$73),ISNUMBER(P10),ISNUMBER(P11),ISNUMBER('Bay Turnover'!$E$19),ISNUMBER('Assumptions'!$D$61)),MIN(MAX(0,'Assumptions'!$D$73-P10+P11),'Bay Turnover'!$E$19*'Assumptions'!$D$61),"n.a."),"n.a.")</x:f>
        <x:v>1500</x:v>
      </x:c>
      <x:c r="Q12" s="48" t="n">
        <x:f>IF(AND('Bay Turnover'!N20="OK"),IF(AND(ISNUMBER('Assumptions'!$D$73),ISNUMBER(Q10),ISNUMBER(Q11),ISNUMBER('Bay Turnover'!$E$20),ISNUMBER('Assumptions'!$D$61)),MIN(MAX(0,'Assumptions'!$D$73-Q10+Q11),'Bay Turnover'!$E$20*'Assumptions'!$D$61),"n.a."),"n.a.")</x:f>
        <x:v>1500</x:v>
      </x:c>
      <x:c r="R12" s="48" t="n">
        <x:f>IF(AND('Bay Turnover'!N21="OK"),IF(AND(ISNUMBER('Assumptions'!$D$73),ISNUMBER(R10),ISNUMBER(R11),ISNUMBER('Bay Turnover'!$E$21),ISNUMBER('Assumptions'!$D$61)),MIN(MAX(0,'Assumptions'!$D$73-R10+R11),'Bay Turnover'!$E$21*'Assumptions'!$D$61),"n.a."),"n.a.")</x:f>
        <x:v>1500</x:v>
      </x:c>
    </x:row>
    <x:row r="13" ht="21" customHeight="1">
      <x:c r="A13" s="2"/>
      <x:c r="B13" s="2"/>
      <x:c r="C13" s="2" t="str">
        <x:v>Ending leased area</x:v>
      </x:c>
      <x:c r="D13" s="2" t="str">
        <x:v>sf end</x:v>
      </x:c>
      <x:c r="E13" s="49" t="n">
        <x:f>IF(ISNUMBER(R13),R13,"n.a.")</x:f>
        <x:v>49000</x:v>
      </x:c>
      <x:c r="F13" s="2"/>
      <x:c r="G13" s="49" t="n">
        <x:f>IF(AND(ISNUMBER(G10),ISNUMBER(G11),ISNUMBER(G12)),G10-G11+G12,"n.a.")</x:f>
        <x:v>43500</x:v>
      </x:c>
      <x:c r="H13" s="49" t="n">
        <x:f>IF(AND(ISNUMBER(H10),ISNUMBER(H11),ISNUMBER(H12)),H10-H11+H12,"n.a.")</x:f>
        <x:v>44000</x:v>
      </x:c>
      <x:c r="I13" s="49" t="n">
        <x:f>IF(AND(ISNUMBER(I10),ISNUMBER(I11),ISNUMBER(I12)),I10-I11+I12,"n.a.")</x:f>
        <x:v>44500</x:v>
      </x:c>
      <x:c r="J13" s="49" t="n">
        <x:f>IF(AND(ISNUMBER(J10),ISNUMBER(J11),ISNUMBER(J12)),J10-J11+J12,"n.a.")</x:f>
        <x:v>40000</x:v>
      </x:c>
      <x:c r="K13" s="49" t="n">
        <x:f>IF(AND(ISNUMBER(K10),ISNUMBER(K11),ISNUMBER(K12)),K10-K11+K12,"n.a.")</x:f>
        <x:v>45500</x:v>
      </x:c>
      <x:c r="L13" s="49" t="n">
        <x:f>IF(AND(ISNUMBER(L10),ISNUMBER(L11),ISNUMBER(L12)),L10-L11+L12,"n.a.")</x:f>
        <x:v>46000</x:v>
      </x:c>
      <x:c r="M13" s="49" t="n">
        <x:f>IF(AND(ISNUMBER(M10),ISNUMBER(M11),ISNUMBER(M12)),M10-M11+M12,"n.a.")</x:f>
        <x:v>46500</x:v>
      </x:c>
      <x:c r="N13" s="49" t="n">
        <x:f>IF(AND(ISNUMBER(N10),ISNUMBER(N11),ISNUMBER(N12)),N10-N11+N12,"n.a.")</x:f>
        <x:v>42000</x:v>
      </x:c>
      <x:c r="O13" s="49" t="n">
        <x:f>IF(AND(ISNUMBER(O10),ISNUMBER(O11),ISNUMBER(O12)),O10-O11+O12,"n.a.")</x:f>
        <x:v>47500</x:v>
      </x:c>
      <x:c r="P13" s="49" t="n">
        <x:f>IF(AND(ISNUMBER(P10),ISNUMBER(P11),ISNUMBER(P12)),P10-P11+P12,"n.a.")</x:f>
        <x:v>48000</x:v>
      </x:c>
      <x:c r="Q13" s="49" t="n">
        <x:f>IF(AND(ISNUMBER(Q10),ISNUMBER(Q11),ISNUMBER(Q12)),Q10-Q11+Q12,"n.a.")</x:f>
        <x:v>48500</x:v>
      </x:c>
      <x:c r="R13" s="49" t="n">
        <x:f>IF(AND(ISNUMBER(R10),ISNUMBER(R11),ISNUMBER(R12)),R10-R11+R12,"n.a.")</x:f>
        <x:v>49000</x:v>
      </x:c>
    </x:row>
    <x:row r="14" ht="21" customHeight="1">
      <x:c r="A14" s="2"/>
      <x:c r="B14" s="2"/>
      <x:c r="C14" s="2" t="str">
        <x:v>Average leased area</x:v>
      </x:c>
      <x:c r="D14" s="2" t="str">
        <x:v>sf avg</x:v>
      </x:c>
      <x:c r="E14" s="49" t="n">
        <x:f>IF(COUNT(G14:R14)=12,AVERAGE(G14:R14),"n.a.")</x:f>
        <x:v>45166.666666666664</x:v>
      </x:c>
      <x:c r="F14" s="2"/>
      <x:c r="G14" s="49" t="n">
        <x:f>IF(AND(ISNUMBER(G10),ISNUMBER(G13)),(G10+G13)/2,"n.a.")</x:f>
        <x:v>43250</x:v>
      </x:c>
      <x:c r="H14" s="49" t="n">
        <x:f>IF(AND(ISNUMBER(H10),ISNUMBER(H13)),(H10+H13)/2,"n.a.")</x:f>
        <x:v>43750</x:v>
      </x:c>
      <x:c r="I14" s="49" t="n">
        <x:f>IF(AND(ISNUMBER(I10),ISNUMBER(I13)),(I10+I13)/2,"n.a.")</x:f>
        <x:v>44250</x:v>
      </x:c>
      <x:c r="J14" s="49" t="n">
        <x:f>IF(AND(ISNUMBER(J10),ISNUMBER(J13)),(J10+J13)/2,"n.a.")</x:f>
        <x:v>42250</x:v>
      </x:c>
      <x:c r="K14" s="49" t="n">
        <x:f>IF(AND(ISNUMBER(K10),ISNUMBER(K13)),(K10+K13)/2,"n.a.")</x:f>
        <x:v>42750</x:v>
      </x:c>
      <x:c r="L14" s="49" t="n">
        <x:f>IF(AND(ISNUMBER(L10),ISNUMBER(L13)),(L10+L13)/2,"n.a.")</x:f>
        <x:v>45750</x:v>
      </x:c>
      <x:c r="M14" s="49" t="n">
        <x:f>IF(AND(ISNUMBER(M10),ISNUMBER(M13)),(M10+M13)/2,"n.a.")</x:f>
        <x:v>46250</x:v>
      </x:c>
      <x:c r="N14" s="49" t="n">
        <x:f>IF(AND(ISNUMBER(N10),ISNUMBER(N13)),(N10+N13)/2,"n.a.")</x:f>
        <x:v>44250</x:v>
      </x:c>
      <x:c r="O14" s="49" t="n">
        <x:f>IF(AND(ISNUMBER(O10),ISNUMBER(O13)),(O10+O13)/2,"n.a.")</x:f>
        <x:v>44750</x:v>
      </x:c>
      <x:c r="P14" s="49" t="n">
        <x:f>IF(AND(ISNUMBER(P10),ISNUMBER(P13)),(P10+P13)/2,"n.a.")</x:f>
        <x:v>47750</x:v>
      </x:c>
      <x:c r="Q14" s="49" t="n">
        <x:f>IF(AND(ISNUMBER(Q10),ISNUMBER(Q13)),(Q10+Q13)/2,"n.a.")</x:f>
        <x:v>48250</x:v>
      </x:c>
      <x:c r="R14" s="49" t="n">
        <x:f>IF(AND(ISNUMBER(R10),ISNUMBER(R13)),(R10+R13)/2,"n.a.")</x:f>
        <x:v>48750</x:v>
      </x:c>
    </x:row>
    <x:row r="15" ht="21" customHeight="1">
      <x:c r="A15" s="2"/>
      <x:c r="B15" s="2"/>
      <x:c r="C15" s="2" t="str">
        <x:v>Average vacant area</x:v>
      </x:c>
      <x:c r="D15" s="2" t="str">
        <x:v>sf avg</x:v>
      </x:c>
      <x:c r="E15" s="49" t="n">
        <x:f>IF(COUNT(G15:R15)=12,AVERAGE(G15:R15),"n.a.")</x:f>
        <x:v>4833.333333333333</x:v>
      </x:c>
      <x:c r="F15" s="2"/>
      <x:c r="G15" s="48" t="n">
        <x:f>IF(AND(ISNUMBER('Assumptions'!$D$73),ISNUMBER(G14)),'Assumptions'!$D$73-G14,"n.a.")</x:f>
        <x:v>6750</x:v>
      </x:c>
      <x:c r="H15" s="48" t="n">
        <x:f>IF(AND(ISNUMBER('Assumptions'!$D$73),ISNUMBER(H14)),'Assumptions'!$D$73-H14,"n.a.")</x:f>
        <x:v>6250</x:v>
      </x:c>
      <x:c r="I15" s="48" t="n">
        <x:f>IF(AND(ISNUMBER('Assumptions'!$D$73),ISNUMBER(I14)),'Assumptions'!$D$73-I14,"n.a.")</x:f>
        <x:v>5750</x:v>
      </x:c>
      <x:c r="J15" s="48" t="n">
        <x:f>IF(AND(ISNUMBER('Assumptions'!$D$73),ISNUMBER(J14)),'Assumptions'!$D$73-J14,"n.a.")</x:f>
        <x:v>7750</x:v>
      </x:c>
      <x:c r="K15" s="48" t="n">
        <x:f>IF(AND(ISNUMBER('Assumptions'!$D$73),ISNUMBER(K14)),'Assumptions'!$D$73-K14,"n.a.")</x:f>
        <x:v>7250</x:v>
      </x:c>
      <x:c r="L15" s="48" t="n">
        <x:f>IF(AND(ISNUMBER('Assumptions'!$D$73),ISNUMBER(L14)),'Assumptions'!$D$73-L14,"n.a.")</x:f>
        <x:v>4250</x:v>
      </x:c>
      <x:c r="M15" s="48" t="n">
        <x:f>IF(AND(ISNUMBER('Assumptions'!$D$73),ISNUMBER(M14)),'Assumptions'!$D$73-M14,"n.a.")</x:f>
        <x:v>3750</x:v>
      </x:c>
      <x:c r="N15" s="48" t="n">
        <x:f>IF(AND(ISNUMBER('Assumptions'!$D$73),ISNUMBER(N14)),'Assumptions'!$D$73-N14,"n.a.")</x:f>
        <x:v>5750</x:v>
      </x:c>
      <x:c r="O15" s="48" t="n">
        <x:f>IF(AND(ISNUMBER('Assumptions'!$D$73),ISNUMBER(O14)),'Assumptions'!$D$73-O14,"n.a.")</x:f>
        <x:v>5250</x:v>
      </x:c>
      <x:c r="P15" s="48" t="n">
        <x:f>IF(AND(ISNUMBER('Assumptions'!$D$73),ISNUMBER(P14)),'Assumptions'!$D$73-P14,"n.a.")</x:f>
        <x:v>2250</x:v>
      </x:c>
      <x:c r="Q15" s="48" t="n">
        <x:f>IF(AND(ISNUMBER('Assumptions'!$D$73),ISNUMBER(Q14)),'Assumptions'!$D$73-Q14,"n.a.")</x:f>
        <x:v>1750</x:v>
      </x:c>
      <x:c r="R15" s="48" t="n">
        <x:f>IF(AND(ISNUMBER('Assumptions'!$D$73),ISNUMBER(R14)),'Assumptions'!$D$73-R14,"n.a.")</x:f>
        <x:v>1250</x:v>
      </x:c>
    </x:row>
    <x:row r="16" ht="21" customHeight="1">
      <x:c r="A16" s="2"/>
      <x:c r="B16" s="2"/>
      <x:c r="C16" s="58" t="str">
        <x:v>Collected base rent</x:v>
      </x:c>
      <x:c r="D16" s="58" t="str">
        <x:v>USD</x:v>
      </x:c>
      <x:c r="E16" s="59" t="n">
        <x:f>IF(COUNT(G16:R16)=12,SUM(G16:R16),"n.a.")</x:f>
        <x:v>774608.3333333334</x:v>
      </x:c>
      <x:c r="F16" s="58"/>
      <x:c r="G16" s="60" t="n">
        <x:f>IF(AND('Bay Turnover'!N10="OK"),IF(AND(ISNUMBER(G14),ISNUMBER('Bay Turnover'!$F$10),ISNUMBER('Bay Turnover'!$G$10),ISNUMBER('Assumptions'!$D$64)),G14*'Bay Turnover'!$F$10/12*'Bay Turnover'!$G$10*'Assumptions'!$D$64,"n.a."),"n.a.")</x:f>
        <x:v>61811.45833333333</x:v>
      </x:c>
      <x:c r="H16" s="60" t="n">
        <x:f>IF(AND('Bay Turnover'!N11="OK"),IF(AND(ISNUMBER(H14),ISNUMBER('Bay Turnover'!$F$11),ISNUMBER('Bay Turnover'!$G$11),ISNUMBER('Assumptions'!$D$64)),H14*'Bay Turnover'!$F$11/12*'Bay Turnover'!$G$11*'Assumptions'!$D$64,"n.a."),"n.a.")</x:f>
        <x:v>62526.04166666667</x:v>
      </x:c>
      <x:c r="I16" s="60" t="n">
        <x:f>IF(AND('Bay Turnover'!N12="OK"),IF(AND(ISNUMBER(I14),ISNUMBER('Bay Turnover'!$F$12),ISNUMBER('Bay Turnover'!$G$12),ISNUMBER('Assumptions'!$D$64)),I14*'Bay Turnover'!$F$12/12*'Bay Turnover'!$G$12*'Assumptions'!$D$64,"n.a."),"n.a.")</x:f>
        <x:v>63240.625</x:v>
      </x:c>
      <x:c r="J16" s="60" t="n">
        <x:f>IF(AND('Bay Turnover'!N13="OK"),IF(AND(ISNUMBER(J14),ISNUMBER('Bay Turnover'!$F$13),ISNUMBER('Bay Turnover'!$G$13),ISNUMBER('Assumptions'!$D$64)),J14*'Bay Turnover'!$F$13/12*'Bay Turnover'!$G$13*'Assumptions'!$D$64,"n.a."),"n.a.")</x:f>
        <x:v>60382.29166666667</x:v>
      </x:c>
      <x:c r="K16" s="60" t="n">
        <x:f>IF(AND('Bay Turnover'!N14="OK"),IF(AND(ISNUMBER(K14),ISNUMBER('Bay Turnover'!$F$14),ISNUMBER('Bay Turnover'!$G$14),ISNUMBER('Assumptions'!$D$64)),K14*'Bay Turnover'!$F$14/12*'Bay Turnover'!$G$14*'Assumptions'!$D$64,"n.a."),"n.a.")</x:f>
        <x:v>61096.875</x:v>
      </x:c>
      <x:c r="L16" s="60" t="n">
        <x:f>IF(AND('Bay Turnover'!N15="OK"),IF(AND(ISNUMBER(L14),ISNUMBER('Bay Turnover'!$F$15),ISNUMBER('Bay Turnover'!$G$15),ISNUMBER('Assumptions'!$D$64)),L14*'Bay Turnover'!$F$15/12*'Bay Turnover'!$G$15*'Assumptions'!$D$64,"n.a."),"n.a.")</x:f>
        <x:v>65384.375</x:v>
      </x:c>
      <x:c r="M16" s="60" t="n">
        <x:f>IF(AND('Bay Turnover'!N16="OK"),IF(AND(ISNUMBER(M14),ISNUMBER('Bay Turnover'!$F$16),ISNUMBER('Bay Turnover'!$G$16),ISNUMBER('Assumptions'!$D$64)),M14*'Bay Turnover'!$F$16/12*'Bay Turnover'!$G$16*'Assumptions'!$D$64,"n.a."),"n.a.")</x:f>
        <x:v>66098.95833333334</x:v>
      </x:c>
      <x:c r="N16" s="60" t="n">
        <x:f>IF(AND('Bay Turnover'!N17="OK"),IF(AND(ISNUMBER(N14),ISNUMBER('Bay Turnover'!$F$17),ISNUMBER('Bay Turnover'!$G$17),ISNUMBER('Assumptions'!$D$64)),N14*'Bay Turnover'!$F$17/12*'Bay Turnover'!$G$17*'Assumptions'!$D$64,"n.a."),"n.a.")</x:f>
        <x:v>63240.625</x:v>
      </x:c>
      <x:c r="O16" s="60" t="n">
        <x:f>IF(AND('Bay Turnover'!N18="OK"),IF(AND(ISNUMBER(O14),ISNUMBER('Bay Turnover'!$F$18),ISNUMBER('Bay Turnover'!$G$18),ISNUMBER('Assumptions'!$D$64)),O14*'Bay Turnover'!$F$18/12*'Bay Turnover'!$G$18*'Assumptions'!$D$64,"n.a."),"n.a.")</x:f>
        <x:v>63955.20833333333</x:v>
      </x:c>
      <x:c r="P16" s="60" t="n">
        <x:f>IF(AND('Bay Turnover'!N19="OK"),IF(AND(ISNUMBER(P14),ISNUMBER('Bay Turnover'!$F$19),ISNUMBER('Bay Turnover'!$G$19),ISNUMBER('Assumptions'!$D$64)),P14*'Bay Turnover'!$F$19/12*'Bay Turnover'!$G$19*'Assumptions'!$D$64,"n.a."),"n.a.")</x:f>
        <x:v>68242.70833333334</x:v>
      </x:c>
      <x:c r="Q16" s="60" t="n">
        <x:f>IF(AND('Bay Turnover'!N20="OK"),IF(AND(ISNUMBER(Q14),ISNUMBER('Bay Turnover'!$F$20),ISNUMBER('Bay Turnover'!$G$20),ISNUMBER('Assumptions'!$D$64)),Q14*'Bay Turnover'!$F$20/12*'Bay Turnover'!$G$20*'Assumptions'!$D$64,"n.a."),"n.a.")</x:f>
        <x:v>68957.29166666666</x:v>
      </x:c>
      <x:c r="R16" s="60" t="n">
        <x:f>IF(AND('Bay Turnover'!N21="OK"),IF(AND(ISNUMBER(R14),ISNUMBER('Bay Turnover'!$F$21),ISNUMBER('Bay Turnover'!$G$21),ISNUMBER('Assumptions'!$D$64)),R14*'Bay Turnover'!$F$21/12*'Bay Turnover'!$G$21*'Assumptions'!$D$64,"n.a."),"n.a.")</x:f>
        <x:v>69671.875</x:v>
      </x:c>
    </x:row>
    <x:row r="17" ht="21" customHeight="1">
      <x:c r="A17" s="2"/>
      <x:c r="B17" s="2"/>
      <x:c r="C17" s="2" t="str">
        <x:v>Vacant and occupied area costs</x:v>
      </x:c>
      <x:c r="D17" s="2" t="str">
        <x:v>USD</x:v>
      </x:c>
      <x:c r="E17" s="52" t="n">
        <x:f>IF(COUNT(G17:R17)=12,SUM(G17:R17),"n.a.")</x:f>
        <x:v>49160</x:v>
      </x:c>
      <x:c r="F17" s="2"/>
      <x:c r="G17" s="51" t="n">
        <x:f>IF(AND('Bay Turnover'!N10="OK"),IF(AND(ISNUMBER(G15),ISNUMBER('Bay Turnover'!$H$10),ISNUMBER(G14),ISNUMBER('Bay Turnover'!$I$10),ISNUMBER('Assumptions'!$D$67)),(G15*'Bay Turnover'!$H$10+G14*'Bay Turnover'!$I$10)*'Assumptions'!$D$67,"n.a."),"n.a.")</x:f>
        <x:v>4135</x:v>
      </x:c>
      <x:c r="H17" s="51" t="n">
        <x:f>IF(AND('Bay Turnover'!N11="OK"),IF(AND(ISNUMBER(H15),ISNUMBER('Bay Turnover'!$H$11),ISNUMBER(H14),ISNUMBER('Bay Turnover'!$I$11),ISNUMBER('Assumptions'!$D$67)),(H15*'Bay Turnover'!$H$11+H14*'Bay Turnover'!$I$11)*'Assumptions'!$D$67,"n.a."),"n.a.")</x:f>
        <x:v>4125</x:v>
      </x:c>
      <x:c r="I17" s="51" t="n">
        <x:f>IF(AND('Bay Turnover'!N12="OK"),IF(AND(ISNUMBER(I15),ISNUMBER('Bay Turnover'!$H$12),ISNUMBER(I14),ISNUMBER('Bay Turnover'!$I$12),ISNUMBER('Assumptions'!$D$67)),(I15*'Bay Turnover'!$H$12+I14*'Bay Turnover'!$I$12)*'Assumptions'!$D$67,"n.a."),"n.a.")</x:f>
        <x:v>4115</x:v>
      </x:c>
      <x:c r="J17" s="51" t="n">
        <x:f>IF(AND('Bay Turnover'!N13="OK"),IF(AND(ISNUMBER(J15),ISNUMBER('Bay Turnover'!$H$13),ISNUMBER(J14),ISNUMBER('Bay Turnover'!$I$13),ISNUMBER('Assumptions'!$D$67)),(J15*'Bay Turnover'!$H$13+J14*'Bay Turnover'!$I$13)*'Assumptions'!$D$67,"n.a."),"n.a.")</x:f>
        <x:v>4155</x:v>
      </x:c>
      <x:c r="K17" s="51" t="n">
        <x:f>IF(AND('Bay Turnover'!N14="OK"),IF(AND(ISNUMBER(K15),ISNUMBER('Bay Turnover'!$H$14),ISNUMBER(K14),ISNUMBER('Bay Turnover'!$I$14),ISNUMBER('Assumptions'!$D$67)),(K15*'Bay Turnover'!$H$14+K14*'Bay Turnover'!$I$14)*'Assumptions'!$D$67,"n.a."),"n.a.")</x:f>
        <x:v>4145</x:v>
      </x:c>
      <x:c r="L17" s="51" t="n">
        <x:f>IF(AND('Bay Turnover'!N15="OK"),IF(AND(ISNUMBER(L15),ISNUMBER('Bay Turnover'!$H$15),ISNUMBER(L14),ISNUMBER('Bay Turnover'!$I$15),ISNUMBER('Assumptions'!$D$67)),(L15*'Bay Turnover'!$H$15+L14*'Bay Turnover'!$I$15)*'Assumptions'!$D$67,"n.a."),"n.a.")</x:f>
        <x:v>4085</x:v>
      </x:c>
      <x:c r="M17" s="51" t="n">
        <x:f>IF(AND('Bay Turnover'!N16="OK"),IF(AND(ISNUMBER(M15),ISNUMBER('Bay Turnover'!$H$16),ISNUMBER(M14),ISNUMBER('Bay Turnover'!$I$16),ISNUMBER('Assumptions'!$D$67)),(M15*'Bay Turnover'!$H$16+M14*'Bay Turnover'!$I$16)*'Assumptions'!$D$67,"n.a."),"n.a.")</x:f>
        <x:v>4075</x:v>
      </x:c>
      <x:c r="N17" s="51" t="n">
        <x:f>IF(AND('Bay Turnover'!N17="OK"),IF(AND(ISNUMBER(N15),ISNUMBER('Bay Turnover'!$H$17),ISNUMBER(N14),ISNUMBER('Bay Turnover'!$I$17),ISNUMBER('Assumptions'!$D$67)),(N15*'Bay Turnover'!$H$17+N14*'Bay Turnover'!$I$17)*'Assumptions'!$D$67,"n.a."),"n.a.")</x:f>
        <x:v>4115</x:v>
      </x:c>
      <x:c r="O17" s="51" t="n">
        <x:f>IF(AND('Bay Turnover'!N18="OK"),IF(AND(ISNUMBER(O15),ISNUMBER('Bay Turnover'!$H$18),ISNUMBER(O14),ISNUMBER('Bay Turnover'!$I$18),ISNUMBER('Assumptions'!$D$67)),(O15*'Bay Turnover'!$H$18+O14*'Bay Turnover'!$I$18)*'Assumptions'!$D$67,"n.a."),"n.a.")</x:f>
        <x:v>4105</x:v>
      </x:c>
      <x:c r="P17" s="51" t="n">
        <x:f>IF(AND('Bay Turnover'!N19="OK"),IF(AND(ISNUMBER(P15),ISNUMBER('Bay Turnover'!$H$19),ISNUMBER(P14),ISNUMBER('Bay Turnover'!$I$19),ISNUMBER('Assumptions'!$D$67)),(P15*'Bay Turnover'!$H$19+P14*'Bay Turnover'!$I$19)*'Assumptions'!$D$67,"n.a."),"n.a.")</x:f>
        <x:v>4045</x:v>
      </x:c>
      <x:c r="Q17" s="51" t="n">
        <x:f>IF(AND('Bay Turnover'!N20="OK"),IF(AND(ISNUMBER(Q15),ISNUMBER('Bay Turnover'!$H$20),ISNUMBER(Q14),ISNUMBER('Bay Turnover'!$I$20),ISNUMBER('Assumptions'!$D$67)),(Q15*'Bay Turnover'!$H$20+Q14*'Bay Turnover'!$I$20)*'Assumptions'!$D$67,"n.a."),"n.a.")</x:f>
        <x:v>4035</x:v>
      </x:c>
      <x:c r="R17" s="51" t="n">
        <x:f>IF(AND('Bay Turnover'!N21="OK"),IF(AND(ISNUMBER(R15),ISNUMBER('Bay Turnover'!$H$21),ISNUMBER(R14),ISNUMBER('Bay Turnover'!$I$21),ISNUMBER('Assumptions'!$D$67)),(R15*'Bay Turnover'!$H$21+R14*'Bay Turnover'!$I$21)*'Assumptions'!$D$67,"n.a."),"n.a.")</x:f>
        <x:v>4025</x:v>
      </x:c>
    </x:row>
    <x:row r="18" ht="21" customHeight="1">
      <x:c r="A18" s="2"/>
      <x:c r="B18" s="2"/>
      <x:c r="C18" s="2" t="str">
        <x:v>New-lease improvement and commission</x:v>
      </x:c>
      <x:c r="D18" s="2" t="str">
        <x:v>USD</x:v>
      </x:c>
      <x:c r="E18" s="52" t="n">
        <x:f>IF(COUNT(G18:R18)=12,SUM(G18:R18),"n.a.")</x:f>
        <x:v>406000</x:v>
      </x:c>
      <x:c r="F18" s="2"/>
      <x:c r="G18" s="51" t="n">
        <x:f>IF(AND('Bay Turnover'!N10="OK"),IF(AND(ISNUMBER(G12),ISNUMBER('Bay Turnover'!$J$10),ISNUMBER('Bay Turnover'!$K$10),ISNUMBER('Assumptions'!$D$70)),G12*('Bay Turnover'!$J$10+'Bay Turnover'!$K$10)*'Assumptions'!$D$70,"n.a."),"n.a.")</x:f>
        <x:v>21750</x:v>
      </x:c>
      <x:c r="H18" s="51" t="n">
        <x:f>IF(AND('Bay Turnover'!N11="OK"),IF(AND(ISNUMBER(H12),ISNUMBER('Bay Turnover'!$J$11),ISNUMBER('Bay Turnover'!$K$11),ISNUMBER('Assumptions'!$D$70)),H12*('Bay Turnover'!$J$11+'Bay Turnover'!$K$11)*'Assumptions'!$D$70,"n.a."),"n.a.")</x:f>
        <x:v>21750</x:v>
      </x:c>
      <x:c r="I18" s="51" t="n">
        <x:f>IF(AND('Bay Turnover'!N12="OK"),IF(AND(ISNUMBER(I12),ISNUMBER('Bay Turnover'!$J$12),ISNUMBER('Bay Turnover'!$K$12),ISNUMBER('Assumptions'!$D$70)),I12*('Bay Turnover'!$J$12+'Bay Turnover'!$K$12)*'Assumptions'!$D$70,"n.a."),"n.a.")</x:f>
        <x:v>21750</x:v>
      </x:c>
      <x:c r="J18" s="51" t="n">
        <x:f>IF(AND('Bay Turnover'!N13="OK"),IF(AND(ISNUMBER(J12),ISNUMBER('Bay Turnover'!$J$13),ISNUMBER('Bay Turnover'!$K$13),ISNUMBER('Assumptions'!$D$70)),J12*('Bay Turnover'!$J$13+'Bay Turnover'!$K$13)*'Assumptions'!$D$70,"n.a."),"n.a.")</x:f>
        <x:v>21750</x:v>
      </x:c>
      <x:c r="K18" s="51" t="n">
        <x:f>IF(AND('Bay Turnover'!N14="OK"),IF(AND(ISNUMBER(K12),ISNUMBER('Bay Turnover'!$J$14),ISNUMBER('Bay Turnover'!$K$14),ISNUMBER('Assumptions'!$D$70)),K12*('Bay Turnover'!$J$14+'Bay Turnover'!$K$14)*'Assumptions'!$D$70,"n.a."),"n.a.")</x:f>
        <x:v>94250</x:v>
      </x:c>
      <x:c r="L18" s="51" t="n">
        <x:f>IF(AND('Bay Turnover'!N15="OK"),IF(AND(ISNUMBER(L12),ISNUMBER('Bay Turnover'!$J$15),ISNUMBER('Bay Turnover'!$K$15),ISNUMBER('Assumptions'!$D$70)),L12*('Bay Turnover'!$J$15+'Bay Turnover'!$K$15)*'Assumptions'!$D$70,"n.a."),"n.a.")</x:f>
        <x:v>21750</x:v>
      </x:c>
      <x:c r="M18" s="51" t="n">
        <x:f>IF(AND('Bay Turnover'!N16="OK"),IF(AND(ISNUMBER(M12),ISNUMBER('Bay Turnover'!$J$16),ISNUMBER('Bay Turnover'!$K$16),ISNUMBER('Assumptions'!$D$70)),M12*('Bay Turnover'!$J$16+'Bay Turnover'!$K$16)*'Assumptions'!$D$70,"n.a."),"n.a.")</x:f>
        <x:v>21750</x:v>
      </x:c>
      <x:c r="N18" s="51" t="n">
        <x:f>IF(AND('Bay Turnover'!N17="OK"),IF(AND(ISNUMBER(N12),ISNUMBER('Bay Turnover'!$J$17),ISNUMBER('Bay Turnover'!$K$17),ISNUMBER('Assumptions'!$D$70)),N12*('Bay Turnover'!$J$17+'Bay Turnover'!$K$17)*'Assumptions'!$D$70,"n.a."),"n.a.")</x:f>
        <x:v>21750</x:v>
      </x:c>
      <x:c r="O18" s="51" t="n">
        <x:f>IF(AND('Bay Turnover'!N18="OK"),IF(AND(ISNUMBER(O12),ISNUMBER('Bay Turnover'!$J$18),ISNUMBER('Bay Turnover'!$K$18),ISNUMBER('Assumptions'!$D$70)),O12*('Bay Turnover'!$J$18+'Bay Turnover'!$K$18)*'Assumptions'!$D$70,"n.a."),"n.a.")</x:f>
        <x:v>94250</x:v>
      </x:c>
      <x:c r="P18" s="51" t="n">
        <x:f>IF(AND('Bay Turnover'!N19="OK"),IF(AND(ISNUMBER(P12),ISNUMBER('Bay Turnover'!$J$19),ISNUMBER('Bay Turnover'!$K$19),ISNUMBER('Assumptions'!$D$70)),P12*('Bay Turnover'!$J$19+'Bay Turnover'!$K$19)*'Assumptions'!$D$70,"n.a."),"n.a.")</x:f>
        <x:v>21750</x:v>
      </x:c>
      <x:c r="Q18" s="51" t="n">
        <x:f>IF(AND('Bay Turnover'!N20="OK"),IF(AND(ISNUMBER(Q12),ISNUMBER('Bay Turnover'!$J$20),ISNUMBER('Bay Turnover'!$K$20),ISNUMBER('Assumptions'!$D$70)),Q12*('Bay Turnover'!$J$20+'Bay Turnover'!$K$20)*'Assumptions'!$D$70,"n.a."),"n.a.")</x:f>
        <x:v>21750</x:v>
      </x:c>
      <x:c r="R18" s="51" t="n">
        <x:f>IF(AND('Bay Turnover'!N21="OK"),IF(AND(ISNUMBER(R12),ISNUMBER('Bay Turnover'!$J$21),ISNUMBER('Bay Turnover'!$K$21),ISNUMBER('Assumptions'!$D$70)),R12*('Bay Turnover'!$J$21+'Bay Turnover'!$K$21)*'Assumptions'!$D$70,"n.a."),"n.a.")</x:f>
        <x:v>21750</x:v>
      </x:c>
    </x:row>
    <x:row r="19" ht="21" customHeight="1">
      <x:c r="A19" s="2"/>
      <x:c r="B19" s="2"/>
      <x:c r="C19" s="2" t="str">
        <x:v>Leasing, restoration and other capital</x:v>
      </x:c>
      <x:c r="D19" s="2" t="str">
        <x:v>USD</x:v>
      </x:c>
      <x:c r="E19" s="52" t="n">
        <x:f>IF(COUNT(G19:R19)=12,SUM(G19:R19),"n.a.")</x:f>
        <x:v>534000</x:v>
      </x:c>
      <x:c r="F19" s="2"/>
      <x:c r="G19" s="51" t="n">
        <x:f>IF(AND('Bay Turnover'!N10="OK"),IF(AND(ISNUMBER(G18),ISNUMBER(G11),ISNUMBER('Bay Turnover'!$L$10),ISNUMBER('Bay Turnover'!$M$10),ISNUMBER('Assumptions'!$D$70)),G18+(G11*'Bay Turnover'!$L$10+'Bay Turnover'!$M$10)*'Assumptions'!$D$70,"n.a."),"n.a.")</x:f>
        <x:v>26750</x:v>
      </x:c>
      <x:c r="H19" s="51" t="n">
        <x:f>IF(AND('Bay Turnover'!N11="OK"),IF(AND(ISNUMBER(H18),ISNUMBER(H11),ISNUMBER('Bay Turnover'!$L$11),ISNUMBER('Bay Turnover'!$M$11),ISNUMBER('Assumptions'!$D$70)),H18+(H11*'Bay Turnover'!$L$11+'Bay Turnover'!$M$11)*'Assumptions'!$D$70,"n.a."),"n.a.")</x:f>
        <x:v>26750</x:v>
      </x:c>
      <x:c r="I19" s="51" t="n">
        <x:f>IF(AND('Bay Turnover'!N12="OK"),IF(AND(ISNUMBER(I18),ISNUMBER(I11),ISNUMBER('Bay Turnover'!$L$12),ISNUMBER('Bay Turnover'!$M$12),ISNUMBER('Assumptions'!$D$70)),I18+(I11*'Bay Turnover'!$L$12+'Bay Turnover'!$M$12)*'Assumptions'!$D$70,"n.a."),"n.a.")</x:f>
        <x:v>26750</x:v>
      </x:c>
      <x:c r="J19" s="51" t="n">
        <x:f>IF(AND('Bay Turnover'!N13="OK"),IF(AND(ISNUMBER(J18),ISNUMBER(J11),ISNUMBER('Bay Turnover'!$L$13),ISNUMBER('Bay Turnover'!$M$13),ISNUMBER('Assumptions'!$D$70)),J18+(J11*'Bay Turnover'!$L$13+'Bay Turnover'!$M$13)*'Assumptions'!$D$70,"n.a."),"n.a.")</x:f>
        <x:v>41750</x:v>
      </x:c>
      <x:c r="K19" s="51" t="n">
        <x:f>IF(AND('Bay Turnover'!N14="OK"),IF(AND(ISNUMBER(K18),ISNUMBER(K11),ISNUMBER('Bay Turnover'!$L$14),ISNUMBER('Bay Turnover'!$M$14),ISNUMBER('Assumptions'!$D$70)),K18+(K11*'Bay Turnover'!$L$14+'Bay Turnover'!$M$14)*'Assumptions'!$D$70,"n.a."),"n.a.")</x:f>
        <x:v>99250</x:v>
      </x:c>
      <x:c r="L19" s="51" t="n">
        <x:f>IF(AND('Bay Turnover'!N15="OK"),IF(AND(ISNUMBER(L18),ISNUMBER(L11),ISNUMBER('Bay Turnover'!$L$15),ISNUMBER('Bay Turnover'!$M$15),ISNUMBER('Assumptions'!$D$70)),L18+(L11*'Bay Turnover'!$L$15+'Bay Turnover'!$M$15)*'Assumptions'!$D$70,"n.a."),"n.a.")</x:f>
        <x:v>26750</x:v>
      </x:c>
      <x:c r="M19" s="51" t="n">
        <x:f>IF(AND('Bay Turnover'!N16="OK"),IF(AND(ISNUMBER(M18),ISNUMBER(M11),ISNUMBER('Bay Turnover'!$L$16),ISNUMBER('Bay Turnover'!$M$16),ISNUMBER('Assumptions'!$D$70)),M18+(M11*'Bay Turnover'!$L$16+'Bay Turnover'!$M$16)*'Assumptions'!$D$70,"n.a."),"n.a.")</x:f>
        <x:v>26750</x:v>
      </x:c>
      <x:c r="N19" s="51" t="n">
        <x:f>IF(AND('Bay Turnover'!N17="OK"),IF(AND(ISNUMBER(N18),ISNUMBER(N11),ISNUMBER('Bay Turnover'!$L$17),ISNUMBER('Bay Turnover'!$M$17),ISNUMBER('Assumptions'!$D$70)),N18+(N11*'Bay Turnover'!$L$17+'Bay Turnover'!$M$17)*'Assumptions'!$D$70,"n.a."),"n.a.")</x:f>
        <x:v>41750</x:v>
      </x:c>
      <x:c r="O19" s="51" t="n">
        <x:f>IF(AND('Bay Turnover'!N18="OK"),IF(AND(ISNUMBER(O18),ISNUMBER(O11),ISNUMBER('Bay Turnover'!$L$18),ISNUMBER('Bay Turnover'!$M$18),ISNUMBER('Assumptions'!$D$70)),O18+(O11*'Bay Turnover'!$L$18+'Bay Turnover'!$M$18)*'Assumptions'!$D$70,"n.a."),"n.a.")</x:f>
        <x:v>99250</x:v>
      </x:c>
      <x:c r="P19" s="51" t="n">
        <x:f>IF(AND('Bay Turnover'!N19="OK"),IF(AND(ISNUMBER(P18),ISNUMBER(P11),ISNUMBER('Bay Turnover'!$L$19),ISNUMBER('Bay Turnover'!$M$19),ISNUMBER('Assumptions'!$D$70)),P18+(P11*'Bay Turnover'!$L$19+'Bay Turnover'!$M$19)*'Assumptions'!$D$70,"n.a."),"n.a.")</x:f>
        <x:v>64750</x:v>
      </x:c>
      <x:c r="Q19" s="51" t="n">
        <x:f>IF(AND('Bay Turnover'!N20="OK"),IF(AND(ISNUMBER(Q18),ISNUMBER(Q11),ISNUMBER('Bay Turnover'!$L$20),ISNUMBER('Bay Turnover'!$M$20),ISNUMBER('Assumptions'!$D$70)),Q18+(Q11*'Bay Turnover'!$L$20+'Bay Turnover'!$M$20)*'Assumptions'!$D$70,"n.a."),"n.a.")</x:f>
        <x:v>26750</x:v>
      </x:c>
      <x:c r="R19" s="51" t="n">
        <x:f>IF(AND('Bay Turnover'!N21="OK"),IF(AND(ISNUMBER(R18),ISNUMBER(R11),ISNUMBER('Bay Turnover'!$L$21),ISNUMBER('Bay Turnover'!$M$21),ISNUMBER('Assumptions'!$D$70)),R18+(R11*'Bay Turnover'!$L$21+'Bay Turnover'!$M$21)*'Assumptions'!$D$70,"n.a."),"n.a.")</x:f>
        <x:v>26750</x:v>
      </x:c>
    </x:row>
    <x:row r="20" ht="21" customHeight="1">
      <x:c r="A20" s="2"/>
      <x:c r="B20" s="2"/>
      <x:c r="C20" s="2" t="str">
        <x:v>Fixed property / entity costs</x:v>
      </x:c>
      <x:c r="D20" s="2" t="str">
        <x:v>USD</x:v>
      </x:c>
      <x:c r="E20" s="52" t="n">
        <x:f>IF(COUNT(G20:R20)=12,SUM(G20:R20),"n.a.")</x:f>
        <x:v>140000.00000000003</x:v>
      </x:c>
      <x:c r="F20" s="2"/>
      <x:c r="G20" s="51" t="n">
        <x:f>IF(AND(ISNUMBER('Assumptions'!$D$55)),'Assumptions'!$D$55/12,"n.a.")</x:f>
        <x:v>11666.666666666666</x:v>
      </x:c>
      <x:c r="H20" s="51" t="n">
        <x:f>IF(AND(ISNUMBER('Assumptions'!$D$55)),'Assumptions'!$D$55/12,"n.a.")</x:f>
        <x:v>11666.666666666666</x:v>
      </x:c>
      <x:c r="I20" s="51" t="n">
        <x:f>IF(AND(ISNUMBER('Assumptions'!$D$55)),'Assumptions'!$D$55/12,"n.a.")</x:f>
        <x:v>11666.666666666666</x:v>
      </x:c>
      <x:c r="J20" s="51" t="n">
        <x:f>IF(AND(ISNUMBER('Assumptions'!$D$55)),'Assumptions'!$D$55/12,"n.a.")</x:f>
        <x:v>11666.666666666666</x:v>
      </x:c>
      <x:c r="K20" s="51" t="n">
        <x:f>IF(AND(ISNUMBER('Assumptions'!$D$55)),'Assumptions'!$D$55/12,"n.a.")</x:f>
        <x:v>11666.666666666666</x:v>
      </x:c>
      <x:c r="L20" s="51" t="n">
        <x:f>IF(AND(ISNUMBER('Assumptions'!$D$55)),'Assumptions'!$D$55/12,"n.a.")</x:f>
        <x:v>11666.666666666666</x:v>
      </x:c>
      <x:c r="M20" s="51" t="n">
        <x:f>IF(AND(ISNUMBER('Assumptions'!$D$55)),'Assumptions'!$D$55/12,"n.a.")</x:f>
        <x:v>11666.666666666666</x:v>
      </x:c>
      <x:c r="N20" s="51" t="n">
        <x:f>IF(AND(ISNUMBER('Assumptions'!$D$55)),'Assumptions'!$D$55/12,"n.a.")</x:f>
        <x:v>11666.666666666666</x:v>
      </x:c>
      <x:c r="O20" s="51" t="n">
        <x:f>IF(AND(ISNUMBER('Assumptions'!$D$55)),'Assumptions'!$D$55/12,"n.a.")</x:f>
        <x:v>11666.666666666666</x:v>
      </x:c>
      <x:c r="P20" s="51" t="n">
        <x:f>IF(AND(ISNUMBER('Assumptions'!$D$55)),'Assumptions'!$D$55/12,"n.a.")</x:f>
        <x:v>11666.666666666666</x:v>
      </x:c>
      <x:c r="Q20" s="51" t="n">
        <x:f>IF(AND(ISNUMBER('Assumptions'!$D$55)),'Assumptions'!$D$55/12,"n.a.")</x:f>
        <x:v>11666.666666666666</x:v>
      </x:c>
      <x:c r="R20" s="51" t="n">
        <x:f>IF(AND(ISNUMBER('Assumptions'!$D$55)),'Assumptions'!$D$55/12,"n.a.")</x:f>
        <x:v>11666.666666666666</x:v>
      </x:c>
    </x:row>
    <x:row r="21" ht="21" customHeight="1">
      <x:c r="A21" s="2"/>
      <x:c r="B21" s="2"/>
      <x:c r="C21" s="58" t="str">
        <x:v>Total cash operating costs</x:v>
      </x:c>
      <x:c r="D21" s="58" t="str">
        <x:v>USD</x:v>
      </x:c>
      <x:c r="E21" s="59" t="n">
        <x:f>IF(COUNT(G21:R21)=12,SUM(G21:R21),"n.a.")</x:f>
        <x:v>189159.99999999997</x:v>
      </x:c>
      <x:c r="F21" s="58"/>
      <x:c r="G21" s="59" t="n">
        <x:f>IF(AND(ISNUMBER(G17),ISNUMBER(G20)),G17+G20,"n.a.")</x:f>
        <x:v>15801.666666666666</x:v>
      </x:c>
      <x:c r="H21" s="59" t="n">
        <x:f>IF(AND(ISNUMBER(H17),ISNUMBER(H20)),H17+H20,"n.a.")</x:f>
        <x:v>15791.666666666666</x:v>
      </x:c>
      <x:c r="I21" s="59" t="n">
        <x:f>IF(AND(ISNUMBER(I17),ISNUMBER(I20)),I17+I20,"n.a.")</x:f>
        <x:v>15781.666666666666</x:v>
      </x:c>
      <x:c r="J21" s="59" t="n">
        <x:f>IF(AND(ISNUMBER(J17),ISNUMBER(J20)),J17+J20,"n.a.")</x:f>
        <x:v>15821.666666666666</x:v>
      </x:c>
      <x:c r="K21" s="59" t="n">
        <x:f>IF(AND(ISNUMBER(K17),ISNUMBER(K20)),K17+K20,"n.a.")</x:f>
        <x:v>15811.666666666666</x:v>
      </x:c>
      <x:c r="L21" s="59" t="n">
        <x:f>IF(AND(ISNUMBER(L17),ISNUMBER(L20)),L17+L20,"n.a.")</x:f>
        <x:v>15751.666666666666</x:v>
      </x:c>
      <x:c r="M21" s="59" t="n">
        <x:f>IF(AND(ISNUMBER(M17),ISNUMBER(M20)),M17+M20,"n.a.")</x:f>
        <x:v>15741.666666666666</x:v>
      </x:c>
      <x:c r="N21" s="59" t="n">
        <x:f>IF(AND(ISNUMBER(N17),ISNUMBER(N20)),N17+N20,"n.a.")</x:f>
        <x:v>15781.666666666666</x:v>
      </x:c>
      <x:c r="O21" s="59" t="n">
        <x:f>IF(AND(ISNUMBER(O17),ISNUMBER(O20)),O17+O20,"n.a.")</x:f>
        <x:v>15771.666666666666</x:v>
      </x:c>
      <x:c r="P21" s="59" t="n">
        <x:f>IF(AND(ISNUMBER(P17),ISNUMBER(P20)),P17+P20,"n.a.")</x:f>
        <x:v>15711.666666666666</x:v>
      </x:c>
      <x:c r="Q21" s="59" t="n">
        <x:f>IF(AND(ISNUMBER(Q17),ISNUMBER(Q20)),Q17+Q20,"n.a.")</x:f>
        <x:v>15701.666666666666</x:v>
      </x:c>
      <x:c r="R21" s="59" t="n">
        <x:f>IF(AND(ISNUMBER(R17),ISNUMBER(R20)),R17+R20,"n.a.")</x:f>
        <x:v>15691.666666666666</x:v>
      </x:c>
    </x:row>
    <x:row r="22" ht="21" customHeight="1">
      <x:c r="A22" s="2"/>
      <x:c r="B22" s="2"/>
      <x:c r="C22" s="58" t="str">
        <x:v>NOI / operating cash before reserves</x:v>
      </x:c>
      <x:c r="D22" s="58" t="str">
        <x:v>USD</x:v>
      </x:c>
      <x:c r="E22" s="59" t="n">
        <x:f>IF(COUNT(G22:R22)=12,SUM(G22:R22),"n.a.")</x:f>
        <x:v>585448.3333333334</x:v>
      </x:c>
      <x:c r="F22" s="58"/>
      <x:c r="G22" s="59" t="n">
        <x:f>IF(AND(ISNUMBER(G16),ISNUMBER(G21)),G16-G21,"n.a.")</x:f>
        <x:v>46009.791666666664</x:v>
      </x:c>
      <x:c r="H22" s="59" t="n">
        <x:f>IF(AND(ISNUMBER(H16),ISNUMBER(H21)),H16-H21,"n.a.")</x:f>
        <x:v>46734.37500000001</x:v>
      </x:c>
      <x:c r="I22" s="59" t="n">
        <x:f>IF(AND(ISNUMBER(I16),ISNUMBER(I21)),I16-I21,"n.a.")</x:f>
        <x:v>47458.958333333336</x:v>
      </x:c>
      <x:c r="J22" s="59" t="n">
        <x:f>IF(AND(ISNUMBER(J16),ISNUMBER(J21)),J16-J21,"n.a.")</x:f>
        <x:v>44560.62500000001</x:v>
      </x:c>
      <x:c r="K22" s="59" t="n">
        <x:f>IF(AND(ISNUMBER(K16),ISNUMBER(K21)),K16-K21,"n.a.")</x:f>
        <x:v>45285.208333333336</x:v>
      </x:c>
      <x:c r="L22" s="59" t="n">
        <x:f>IF(AND(ISNUMBER(L16),ISNUMBER(L21)),L16-L21,"n.a.")</x:f>
        <x:v>49632.708333333336</x:v>
      </x:c>
      <x:c r="M22" s="59" t="n">
        <x:f>IF(AND(ISNUMBER(M16),ISNUMBER(M21)),M16-M21,"n.a.")</x:f>
        <x:v>50357.29166666668</x:v>
      </x:c>
      <x:c r="N22" s="59" t="n">
        <x:f>IF(AND(ISNUMBER(N16),ISNUMBER(N21)),N16-N21,"n.a.")</x:f>
        <x:v>47458.958333333336</x:v>
      </x:c>
      <x:c r="O22" s="59" t="n">
        <x:f>IF(AND(ISNUMBER(O16),ISNUMBER(O21)),O16-O21,"n.a.")</x:f>
        <x:v>48183.541666666664</x:v>
      </x:c>
      <x:c r="P22" s="59" t="n">
        <x:f>IF(AND(ISNUMBER(P16),ISNUMBER(P21)),P16-P21,"n.a.")</x:f>
        <x:v>52531.04166666668</x:v>
      </x:c>
      <x:c r="Q22" s="59" t="n">
        <x:f>IF(AND(ISNUMBER(Q16),ISNUMBER(Q21)),Q16-Q21,"n.a.")</x:f>
        <x:v>53255.62499999999</x:v>
      </x:c>
      <x:c r="R22" s="59" t="n">
        <x:f>IF(AND(ISNUMBER(R16),ISNUMBER(R21)),R16-R21,"n.a.")</x:f>
        <x:v>53980.208333333336</x:v>
      </x:c>
    </x:row>
    <x:row r="23" ht="21" customHeight="1">
      <x:c r="A23" s="2"/>
      <x:c r="B23" s="2"/>
      <x:c r="C23" s="2" t="str">
        <x:v>Cash replacement reserve deposits</x:v>
      </x:c>
      <x:c r="D23" s="2" t="str">
        <x:v>USD</x:v>
      </x:c>
      <x:c r="E23" s="52" t="n">
        <x:f>IF(COUNT(G23:R23)=12,SUM(G23:R23),"n.a.")</x:f>
        <x:v>23238.25</x:v>
      </x:c>
      <x:c r="F23" s="2"/>
      <x:c r="G23" s="51" t="n">
        <x:f>IF(AND(ISNUMBER(G16),ISNUMBER('Assumptions'!$D$58)),MAX(0,G16)*'Assumptions'!$D$58,"n.a.")</x:f>
        <x:v>1854.3437499999998</x:v>
      </x:c>
      <x:c r="H23" s="51" t="n">
        <x:f>IF(AND(ISNUMBER(H16),ISNUMBER('Assumptions'!$D$58)),MAX(0,H16)*'Assumptions'!$D$58,"n.a.")</x:f>
        <x:v>1875.78125</x:v>
      </x:c>
      <x:c r="I23" s="51" t="n">
        <x:f>IF(AND(ISNUMBER(I16),ISNUMBER('Assumptions'!$D$58)),MAX(0,I16)*'Assumptions'!$D$58,"n.a.")</x:f>
        <x:v>1897.21875</x:v>
      </x:c>
      <x:c r="J23" s="51" t="n">
        <x:f>IF(AND(ISNUMBER(J16),ISNUMBER('Assumptions'!$D$58)),MAX(0,J16)*'Assumptions'!$D$58,"n.a.")</x:f>
        <x:v>1811.46875</x:v>
      </x:c>
      <x:c r="K23" s="51" t="n">
        <x:f>IF(AND(ISNUMBER(K16),ISNUMBER('Assumptions'!$D$58)),MAX(0,K16)*'Assumptions'!$D$58,"n.a.")</x:f>
        <x:v>1832.90625</x:v>
      </x:c>
      <x:c r="L23" s="51" t="n">
        <x:f>IF(AND(ISNUMBER(L16),ISNUMBER('Assumptions'!$D$58)),MAX(0,L16)*'Assumptions'!$D$58,"n.a.")</x:f>
        <x:v>1961.53125</x:v>
      </x:c>
      <x:c r="M23" s="51" t="n">
        <x:f>IF(AND(ISNUMBER(M16),ISNUMBER('Assumptions'!$D$58)),MAX(0,M16)*'Assumptions'!$D$58,"n.a.")</x:f>
        <x:v>1982.9687500000002</x:v>
      </x:c>
      <x:c r="N23" s="51" t="n">
        <x:f>IF(AND(ISNUMBER(N16),ISNUMBER('Assumptions'!$D$58)),MAX(0,N16)*'Assumptions'!$D$58,"n.a.")</x:f>
        <x:v>1897.21875</x:v>
      </x:c>
      <x:c r="O23" s="51" t="n">
        <x:f>IF(AND(ISNUMBER(O16),ISNUMBER('Assumptions'!$D$58)),MAX(0,O16)*'Assumptions'!$D$58,"n.a.")</x:f>
        <x:v>1918.6562499999998</x:v>
      </x:c>
      <x:c r="P23" s="51" t="n">
        <x:f>IF(AND(ISNUMBER(P16),ISNUMBER('Assumptions'!$D$58)),MAX(0,P16)*'Assumptions'!$D$58,"n.a.")</x:f>
        <x:v>2047.2812500000002</x:v>
      </x:c>
      <x:c r="Q23" s="51" t="n">
        <x:f>IF(AND(ISNUMBER(Q16),ISNUMBER('Assumptions'!$D$58)),MAX(0,Q16)*'Assumptions'!$D$58,"n.a.")</x:f>
        <x:v>2068.7187499999995</x:v>
      </x:c>
      <x:c r="R23" s="51" t="n">
        <x:f>IF(AND(ISNUMBER(R16),ISNUMBER('Assumptions'!$D$58)),MAX(0,R16)*'Assumptions'!$D$58,"n.a.")</x:f>
        <x:v>2090.15625</x:v>
      </x:c>
    </x:row>
    <x:row r="24" ht="21" customHeight="1">
      <x:c r="A24" s="2"/>
      <x:c r="B24" s="2"/>
      <x:c r="C24" s="58" t="str">
        <x:v>Cash NCF before property debt / capital</x:v>
      </x:c>
      <x:c r="D24" s="58" t="str">
        <x:v>USD</x:v>
      </x:c>
      <x:c r="E24" s="59" t="n">
        <x:f>IF(COUNT(G24:R24)=12,SUM(G24:R24),"n.a.")</x:f>
        <x:v>562210.0833333334</x:v>
      </x:c>
      <x:c r="F24" s="58"/>
      <x:c r="G24" s="59" t="n">
        <x:f>IF(AND(ISNUMBER(G22),ISNUMBER(G23)),G22-G23,"n.a.")</x:f>
        <x:v>44155.447916666664</x:v>
      </x:c>
      <x:c r="H24" s="59" t="n">
        <x:f>IF(AND(ISNUMBER(H22),ISNUMBER(H23)),H22-H23,"n.a.")</x:f>
        <x:v>44858.59375000001</x:v>
      </x:c>
      <x:c r="I24" s="59" t="n">
        <x:f>IF(AND(ISNUMBER(I22),ISNUMBER(I23)),I22-I23,"n.a.")</x:f>
        <x:v>45561.739583333336</x:v>
      </x:c>
      <x:c r="J24" s="59" t="n">
        <x:f>IF(AND(ISNUMBER(J22),ISNUMBER(J23)),J22-J23,"n.a.")</x:f>
        <x:v>42749.15625000001</x:v>
      </x:c>
      <x:c r="K24" s="59" t="n">
        <x:f>IF(AND(ISNUMBER(K22),ISNUMBER(K23)),K22-K23,"n.a.")</x:f>
        <x:v>43452.302083333336</x:v>
      </x:c>
      <x:c r="L24" s="59" t="n">
        <x:f>IF(AND(ISNUMBER(L22),ISNUMBER(L23)),L22-L23,"n.a.")</x:f>
        <x:v>47671.177083333336</x:v>
      </x:c>
      <x:c r="M24" s="59" t="n">
        <x:f>IF(AND(ISNUMBER(M22),ISNUMBER(M23)),M22-M23,"n.a.")</x:f>
        <x:v>48374.32291666668</x:v>
      </x:c>
      <x:c r="N24" s="59" t="n">
        <x:f>IF(AND(ISNUMBER(N22),ISNUMBER(N23)),N22-N23,"n.a.")</x:f>
        <x:v>45561.739583333336</x:v>
      </x:c>
      <x:c r="O24" s="59" t="n">
        <x:f>IF(AND(ISNUMBER(O22),ISNUMBER(O23)),O22-O23,"n.a.")</x:f>
        <x:v>46264.885416666664</x:v>
      </x:c>
      <x:c r="P24" s="59" t="n">
        <x:f>IF(AND(ISNUMBER(P22),ISNUMBER(P23)),P22-P23,"n.a.")</x:f>
        <x:v>50483.76041666668</x:v>
      </x:c>
      <x:c r="Q24" s="59" t="n">
        <x:f>IF(AND(ISNUMBER(Q22),ISNUMBER(Q23)),Q22-Q23,"n.a.")</x:f>
        <x:v>51186.90624999999</x:v>
      </x:c>
      <x:c r="R24" s="59" t="n">
        <x:f>IF(AND(ISNUMBER(R22),ISNUMBER(R23)),R22-R23,"n.a.")</x:f>
        <x:v>51890.052083333336</x:v>
      </x:c>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21" customHeight="1">
      <x:c r="A28" s="2"/>
      <x:c r="B28" s="2"/>
      <x:c r="C28" s="2"/>
      <x:c r="D28" s="2"/>
      <x:c r="E28" s="2"/>
      <x:c r="F28" s="2"/>
      <x:c r="G28" s="2"/>
      <x:c r="H28" s="2"/>
      <x:c r="I28" s="2"/>
      <x:c r="J28" s="2"/>
      <x:c r="K28" s="2"/>
      <x:c r="L28" s="2"/>
      <x:c r="M28" s="2"/>
      <x:c r="N28" s="2"/>
      <x:c r="O28" s="2"/>
      <x:c r="P28" s="2"/>
      <x:c r="Q28" s="2"/>
      <x:c r="R28" s="2"/>
    </x:row>
    <x:row r="29" ht="21" customHeight="1">
      <x:c r="A29" s="2"/>
      <x:c r="B29" s="2"/>
      <x:c r="C29" s="2"/>
      <x:c r="D29" s="2"/>
      <x:c r="E29" s="2"/>
      <x:c r="F29" s="2"/>
      <x:c r="G29" s="2"/>
      <x:c r="H29" s="2"/>
      <x:c r="I29" s="2"/>
      <x:c r="J29" s="2"/>
      <x:c r="K29" s="2"/>
      <x:c r="L29" s="2"/>
      <x:c r="M29" s="2"/>
      <x:c r="N29" s="2"/>
      <x:c r="O29" s="2"/>
      <x:c r="P29" s="2"/>
      <x:c r="Q29" s="2"/>
      <x:c r="R29" s="2"/>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IF(AND(ISNUMBER('Operations'!E24),ISNUMBER('Assumptions'!$D$52)),'Operations'!E24+'Assumptions'!$D$52,"n.a.")</x:f>
        <x:v>562210.0833333334</x:v>
      </x:c>
      <x:c r="E9" s="2"/>
      <x:c r="F9" s="2"/>
      <x:c r="G9" s="2"/>
      <x:c r="H9" s="2"/>
      <x:c r="I9" s="2"/>
      <x:c r="J9" s="2"/>
      <x:c r="K9" s="2"/>
      <x:c r="L9" s="2"/>
      <x:c r="M9" s="2"/>
      <x:c r="N9" s="2"/>
      <x:c r="O9" s="2"/>
      <x:c r="P9" s="2"/>
      <x:c r="Q9" s="2"/>
      <x:c r="R9" s="2"/>
    </x:row>
    <x:row r="10" ht="21" customHeight="1">
      <x:c r="A10" s="2"/>
      <x:c r="B10" s="2"/>
      <x:c r="C10" s="2" t="str">
        <x:v>Monthly amortizing factor</x:v>
      </x:c>
      <x:c r="D10" s="62"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5550988.551041845</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4550000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6246778.703703704</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4500000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30384.322260643876</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6900000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2400000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1100000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4124224.372816724</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3" t="n">
        <x:f>IF(AND(ISNUMBER(D14)),D14,"n.a.")</x:f>
        <x:v>4500000</x:v>
      </x:c>
      <x:c r="H29" s="63" t="n">
        <x:f>IF(AND(ISNUMBER(G33)),G33,"n.a.")</x:f>
        <x:v>4500000</x:v>
      </x:c>
      <x:c r="I29" s="63" t="n">
        <x:f>IF(AND(ISNUMBER(H33)),H33,"n.a.")</x:f>
        <x:v>4500000</x:v>
      </x:c>
      <x:c r="J29" s="63" t="n">
        <x:f>IF(AND(ISNUMBER(I33)),I33,"n.a.")</x:f>
        <x:v>4500000</x:v>
      </x:c>
      <x:c r="K29" s="63" t="n">
        <x:f>IF(AND(ISNUMBER(J33)),J33,"n.a.")</x:f>
        <x:v>4500000</x:v>
      </x:c>
      <x:c r="L29" s="63" t="n">
        <x:f>IF(AND(ISNUMBER(K33)),K33,"n.a.")</x:f>
        <x:v>4500000</x:v>
      </x:c>
      <x:c r="M29" s="63" t="n">
        <x:f>IF(AND(ISNUMBER(L33)),L33,"n.a.")</x:f>
        <x:v>4500000</x:v>
      </x:c>
      <x:c r="N29" s="63" t="n">
        <x:f>IF(AND(ISNUMBER(M33)),M33,"n.a.")</x:f>
        <x:v>4493990.677739356</x:v>
      </x:c>
      <x:c r="O29" s="63" t="n">
        <x:f>IF(AND(ISNUMBER(N33)),N33,"n.a.")</x:f>
        <x:v>4487948.804983133</x:v>
      </x:c>
      <x:c r="P29" s="63" t="n">
        <x:f>IF(AND(ISNUMBER(O33)),O33,"n.a.")</x:f>
        <x:v>4481874.2054161485</x:v>
      </x:c>
      <x:c r="Q29" s="63" t="n">
        <x:f>IF(AND(ISNUMBER(P33)),P33,"n.a.")</x:f>
        <x:v>4475766.701768176</x:v>
      </x:c>
      <x:c r="R29" s="63" t="n">
        <x:f>IF(AND(ISNUMBER(Q33)),Q33,"n.a.")</x:f>
        <x:v>4469626.115808776</x:v>
      </x:c>
    </x:row>
    <x:row r="30" ht="21" customHeight="1">
      <x:c r="A30" s="2"/>
      <x:c r="B30" s="2"/>
      <x:c r="C30" s="2" t="str">
        <x:v>Monthly interest</x:v>
      </x:c>
      <x:c r="D30" s="2"/>
      <x:c r="E30" s="2"/>
      <x:c r="F30" s="2"/>
      <x:c r="G30" s="64" t="n">
        <x:f>IF(AND(ISNUMBER(G29),ISNUMBER('Assumptions'!$D$31)),G29*'Assumptions'!$D$31/12,"n.a.")</x:f>
        <x:v>24375</x:v>
      </x:c>
      <x:c r="H30" s="64" t="n">
        <x:f>IF(AND(ISNUMBER(H29),ISNUMBER('Assumptions'!$D$31)),H29*'Assumptions'!$D$31/12,"n.a.")</x:f>
        <x:v>24375</x:v>
      </x:c>
      <x:c r="I30" s="64" t="n">
        <x:f>IF(AND(ISNUMBER(I29),ISNUMBER('Assumptions'!$D$31)),I29*'Assumptions'!$D$31/12,"n.a.")</x:f>
        <x:v>24375</x:v>
      </x:c>
      <x:c r="J30" s="64" t="n">
        <x:f>IF(AND(ISNUMBER(J29),ISNUMBER('Assumptions'!$D$31)),J29*'Assumptions'!$D$31/12,"n.a.")</x:f>
        <x:v>24375</x:v>
      </x:c>
      <x:c r="K30" s="64" t="n">
        <x:f>IF(AND(ISNUMBER(K29),ISNUMBER('Assumptions'!$D$31)),K29*'Assumptions'!$D$31/12,"n.a.")</x:f>
        <x:v>24375</x:v>
      </x:c>
      <x:c r="L30" s="64" t="n">
        <x:f>IF(AND(ISNUMBER(L29),ISNUMBER('Assumptions'!$D$31)),L29*'Assumptions'!$D$31/12,"n.a.")</x:f>
        <x:v>24375</x:v>
      </x:c>
      <x:c r="M30" s="64" t="n">
        <x:f>IF(AND(ISNUMBER(M29),ISNUMBER('Assumptions'!$D$31)),M29*'Assumptions'!$D$31/12,"n.a.")</x:f>
        <x:v>24375</x:v>
      </x:c>
      <x:c r="N30" s="64" t="n">
        <x:f>IF(AND(ISNUMBER(N29),ISNUMBER('Assumptions'!$D$31)),N29*'Assumptions'!$D$31/12,"n.a.")</x:f>
        <x:v>24342.44950442151</x:v>
      </x:c>
      <x:c r="O30" s="64" t="n">
        <x:f>IF(AND(ISNUMBER(O29),ISNUMBER('Assumptions'!$D$31)),O29*'Assumptions'!$D$31/12,"n.a.")</x:f>
        <x:v>24309.72269365864</x:v>
      </x:c>
      <x:c r="P30" s="64" t="n">
        <x:f>IF(AND(ISNUMBER(P29),ISNUMBER('Assumptions'!$D$31)),P29*'Assumptions'!$D$31/12,"n.a.")</x:f>
        <x:v>24276.818612670806</x:v>
      </x:c>
      <x:c r="Q30" s="64" t="n">
        <x:f>IF(AND(ISNUMBER(Q29),ISNUMBER('Assumptions'!$D$31)),Q29*'Assumptions'!$D$31/12,"n.a.")</x:f>
        <x:v>24243.736301244284</x:v>
      </x:c>
      <x:c r="R30" s="64" t="n">
        <x:f>IF(AND(ISNUMBER(R29),ISNUMBER('Assumptions'!$D$31)),R29*'Assumptions'!$D$31/12,"n.a.")</x:f>
        <x:v>24210.4747939642</x:v>
      </x:c>
    </x:row>
    <x:row r="31" ht="21" customHeight="1">
      <x:c r="A31" s="2"/>
      <x:c r="B31" s="2"/>
      <x:c r="C31" s="2" t="str">
        <x:v>Scheduled payment</x:v>
      </x:c>
      <x:c r="D31" s="2"/>
      <x:c r="E31" s="2"/>
      <x:c r="F31" s="2"/>
      <x:c r="G31" s="64" t="n">
        <x:f>IF(AND(ISNUMBER('Assumptions'!$D$37),ISNUMBER(G30),ISNUMBER(G29),ISNUMBER(D16)),IF(1&lt;='Assumptions'!$D$37,G30,MIN(G29+G30,D16)),"n.a.")</x:f>
        <x:v>24375</x:v>
      </x:c>
      <x:c r="H31" s="64" t="n">
        <x:f>IF(AND(ISNUMBER('Assumptions'!$D$37),ISNUMBER(H30),ISNUMBER(H29),ISNUMBER(D16)),IF(2&lt;='Assumptions'!$D$37,H30,MIN(H29+H30,D16)),"n.a.")</x:f>
        <x:v>24375</x:v>
      </x:c>
      <x:c r="I31" s="64" t="n">
        <x:f>IF(AND(ISNUMBER('Assumptions'!$D$37),ISNUMBER(I30),ISNUMBER(I29),ISNUMBER(D16)),IF(3&lt;='Assumptions'!$D$37,I30,MIN(I29+I30,D16)),"n.a.")</x:f>
        <x:v>24375</x:v>
      </x:c>
      <x:c r="J31" s="64" t="n">
        <x:f>IF(AND(ISNUMBER('Assumptions'!$D$37),ISNUMBER(J30),ISNUMBER(J29),ISNUMBER(D16)),IF(4&lt;='Assumptions'!$D$37,J30,MIN(J29+J30,D16)),"n.a.")</x:f>
        <x:v>24375</x:v>
      </x:c>
      <x:c r="K31" s="64" t="n">
        <x:f>IF(AND(ISNUMBER('Assumptions'!$D$37),ISNUMBER(K30),ISNUMBER(K29),ISNUMBER(D16)),IF(5&lt;='Assumptions'!$D$37,K30,MIN(K29+K30,D16)),"n.a.")</x:f>
        <x:v>24375</x:v>
      </x:c>
      <x:c r="L31" s="64" t="n">
        <x:f>IF(AND(ISNUMBER('Assumptions'!$D$37),ISNUMBER(L30),ISNUMBER(L29),ISNUMBER(D16)),IF(6&lt;='Assumptions'!$D$37,L30,MIN(L29+L30,D16)),"n.a.")</x:f>
        <x:v>24375</x:v>
      </x:c>
      <x:c r="M31" s="64" t="n">
        <x:f>IF(AND(ISNUMBER('Assumptions'!$D$37),ISNUMBER(M30),ISNUMBER(M29),ISNUMBER(D16)),IF(7&lt;='Assumptions'!$D$37,M30,MIN(M29+M30,D16)),"n.a.")</x:f>
        <x:v>30384.322260643876</x:v>
      </x:c>
      <x:c r="N31" s="64" t="n">
        <x:f>IF(AND(ISNUMBER('Assumptions'!$D$37),ISNUMBER(N30),ISNUMBER(N29),ISNUMBER(D16)),IF(8&lt;='Assumptions'!$D$37,N30,MIN(N29+N30,D16)),"n.a.")</x:f>
        <x:v>30384.322260643876</x:v>
      </x:c>
      <x:c r="O31" s="64" t="n">
        <x:f>IF(AND(ISNUMBER('Assumptions'!$D$37),ISNUMBER(O30),ISNUMBER(O29),ISNUMBER(D16)),IF(9&lt;='Assumptions'!$D$37,O30,MIN(O29+O30,D16)),"n.a.")</x:f>
        <x:v>30384.322260643876</x:v>
      </x:c>
      <x:c r="P31" s="64" t="n">
        <x:f>IF(AND(ISNUMBER('Assumptions'!$D$37),ISNUMBER(P30),ISNUMBER(P29),ISNUMBER(D16)),IF(10&lt;='Assumptions'!$D$37,P30,MIN(P29+P30,D16)),"n.a.")</x:f>
        <x:v>30384.322260643876</x:v>
      </x:c>
      <x:c r="Q31" s="64" t="n">
        <x:f>IF(AND(ISNUMBER('Assumptions'!$D$37),ISNUMBER(Q30),ISNUMBER(Q29),ISNUMBER(D16)),IF(11&lt;='Assumptions'!$D$37,Q30,MIN(Q29+Q30,D16)),"n.a.")</x:f>
        <x:v>30384.322260643876</x:v>
      </x:c>
      <x:c r="R31" s="64" t="n">
        <x:f>IF(AND(ISNUMBER('Assumptions'!$D$37),ISNUMBER(R30),ISNUMBER(R29),ISNUMBER(D16)),IF(12&lt;='Assumptions'!$D$37,R30,MIN(R29+R30,D16)),"n.a.")</x:f>
        <x:v>30384.322260643876</x:v>
      </x:c>
    </x:row>
    <x:row r="32" ht="21" customHeight="1">
      <x:c r="A32" s="2"/>
      <x:c r="B32" s="2"/>
      <x:c r="C32" s="2" t="str">
        <x:v>Scheduled principal</x:v>
      </x:c>
      <x:c r="D32" s="2"/>
      <x:c r="E32" s="2"/>
      <x:c r="F32" s="2"/>
      <x:c r="G32" s="63" t="n">
        <x:f>IF(AND(ISNUMBER(G31),ISNUMBER(G30)),G31-G30,"n.a.")</x:f>
        <x:v>0</x:v>
      </x:c>
      <x:c r="H32" s="63" t="n">
        <x:f>IF(AND(ISNUMBER(H31),ISNUMBER(H30)),H31-H30,"n.a.")</x:f>
        <x:v>0</x:v>
      </x:c>
      <x:c r="I32" s="63" t="n">
        <x:f>IF(AND(ISNUMBER(I31),ISNUMBER(I30)),I31-I30,"n.a.")</x:f>
        <x:v>0</x:v>
      </x:c>
      <x:c r="J32" s="63" t="n">
        <x:f>IF(AND(ISNUMBER(J31),ISNUMBER(J30)),J31-J30,"n.a.")</x:f>
        <x:v>0</x:v>
      </x:c>
      <x:c r="K32" s="63" t="n">
        <x:f>IF(AND(ISNUMBER(K31),ISNUMBER(K30)),K31-K30,"n.a.")</x:f>
        <x:v>0</x:v>
      </x:c>
      <x:c r="L32" s="63" t="n">
        <x:f>IF(AND(ISNUMBER(L31),ISNUMBER(L30)),L31-L30,"n.a.")</x:f>
        <x:v>0</x:v>
      </x:c>
      <x:c r="M32" s="63" t="n">
        <x:f>IF(AND(ISNUMBER(M31),ISNUMBER(M30)),M31-M30,"n.a.")</x:f>
        <x:v>6009.322260643876</x:v>
      </x:c>
      <x:c r="N32" s="63" t="n">
        <x:f>IF(AND(ISNUMBER(N31),ISNUMBER(N30)),N31-N30,"n.a.")</x:f>
        <x:v>6041.872756222365</x:v>
      </x:c>
      <x:c r="O32" s="63" t="n">
        <x:f>IF(AND(ISNUMBER(O31),ISNUMBER(O30)),O31-O30,"n.a.")</x:f>
        <x:v>6074.599566985235</x:v>
      </x:c>
      <x:c r="P32" s="63" t="n">
        <x:f>IF(AND(ISNUMBER(P31),ISNUMBER(P30)),P31-P30,"n.a.")</x:f>
        <x:v>6107.50364797307</x:v>
      </x:c>
      <x:c r="Q32" s="63" t="n">
        <x:f>IF(AND(ISNUMBER(Q31),ISNUMBER(Q30)),Q31-Q30,"n.a.")</x:f>
        <x:v>6140.585959399592</x:v>
      </x:c>
      <x:c r="R32" s="63" t="n">
        <x:f>IF(AND(ISNUMBER(R31),ISNUMBER(R30)),R31-R30,"n.a.")</x:f>
        <x:v>6173.847466679676</x:v>
      </x:c>
    </x:row>
    <x:row r="33" ht="21" customHeight="1">
      <x:c r="A33" s="2"/>
      <x:c r="B33" s="2"/>
      <x:c r="C33" s="2" t="str">
        <x:v>Ending loan balance</x:v>
      </x:c>
      <x:c r="D33" s="2"/>
      <x:c r="E33" s="2"/>
      <x:c r="F33" s="2"/>
      <x:c r="G33" s="63" t="n">
        <x:f>IF(AND(ISNUMBER(G29),ISNUMBER(G32),ISNUMBER(G38)),G29-G32-G38,"n.a.")</x:f>
        <x:v>4500000</x:v>
      </x:c>
      <x:c r="H33" s="63" t="n">
        <x:f>IF(AND(ISNUMBER(H29),ISNUMBER(H32),ISNUMBER(H38)),H29-H32-H38,"n.a.")</x:f>
        <x:v>4500000</x:v>
      </x:c>
      <x:c r="I33" s="63" t="n">
        <x:f>IF(AND(ISNUMBER(I29),ISNUMBER(I32),ISNUMBER(I38)),I29-I32-I38,"n.a.")</x:f>
        <x:v>4500000</x:v>
      </x:c>
      <x:c r="J33" s="63" t="n">
        <x:f>IF(AND(ISNUMBER(J29),ISNUMBER(J32),ISNUMBER(J38)),J29-J32-J38,"n.a.")</x:f>
        <x:v>4500000</x:v>
      </x:c>
      <x:c r="K33" s="63" t="n">
        <x:f>IF(AND(ISNUMBER(K29),ISNUMBER(K32),ISNUMBER(K38)),K29-K32-K38,"n.a.")</x:f>
        <x:v>4500000</x:v>
      </x:c>
      <x:c r="L33" s="63" t="n">
        <x:f>IF(AND(ISNUMBER(L29),ISNUMBER(L32),ISNUMBER(L38)),L29-L32-L38,"n.a.")</x:f>
        <x:v>4500000</x:v>
      </x:c>
      <x:c r="M33" s="63" t="n">
        <x:f>IF(AND(ISNUMBER(M29),ISNUMBER(M32),ISNUMBER(M38)),M29-M32-M38,"n.a.")</x:f>
        <x:v>4493990.677739356</x:v>
      </x:c>
      <x:c r="N33" s="63" t="n">
        <x:f>IF(AND(ISNUMBER(N29),ISNUMBER(N32),ISNUMBER(N38)),N29-N32-N38,"n.a.")</x:f>
        <x:v>4487948.804983133</x:v>
      </x:c>
      <x:c r="O33" s="63" t="n">
        <x:f>IF(AND(ISNUMBER(O29),ISNUMBER(O32),ISNUMBER(O38)),O29-O32-O38,"n.a.")</x:f>
        <x:v>4481874.2054161485</x:v>
      </x:c>
      <x:c r="P33" s="63" t="n">
        <x:f>IF(AND(ISNUMBER(P29),ISNUMBER(P32),ISNUMBER(P38)),P29-P32-P38,"n.a.")</x:f>
        <x:v>4475766.701768176</x:v>
      </x:c>
      <x:c r="Q33" s="63" t="n">
        <x:f>IF(AND(ISNUMBER(Q29),ISNUMBER(Q32),ISNUMBER(Q38)),Q29-Q32-Q38,"n.a.")</x:f>
        <x:v>4469626.115808776</x:v>
      </x:c>
      <x:c r="R33" s="63" t="n">
        <x:f>IF(AND(ISNUMBER(R29),ISNUMBER(R32),ISNUMBER(R38)),R29-R32-R38,"n.a.")</x:f>
        <x:v>4463452.268342096</x:v>
      </x:c>
    </x:row>
    <x:row r="34" ht="21" customHeight="1">
      <x:c r="A34" s="2"/>
      <x:c r="B34" s="2"/>
      <x:c r="C34" s="2" t="str">
        <x:v>Operating cash NCF</x:v>
      </x:c>
      <x:c r="D34" s="2"/>
      <x:c r="E34" s="2"/>
      <x:c r="F34" s="2"/>
      <x:c r="G34" s="64" t="n">
        <x:f>IF(AND(ISNUMBER('Operations'!G24)),'Operations'!G24,"n.a.")</x:f>
        <x:v>44155.447916666664</x:v>
      </x:c>
      <x:c r="H34" s="64" t="n">
        <x:f>IF(AND(ISNUMBER('Operations'!H24)),'Operations'!H24,"n.a.")</x:f>
        <x:v>44858.59375000001</x:v>
      </x:c>
      <x:c r="I34" s="64" t="n">
        <x:f>IF(AND(ISNUMBER('Operations'!I24)),'Operations'!I24,"n.a.")</x:f>
        <x:v>45561.739583333336</x:v>
      </x:c>
      <x:c r="J34" s="64" t="n">
        <x:f>IF(AND(ISNUMBER('Operations'!J24)),'Operations'!J24,"n.a.")</x:f>
        <x:v>42749.15625000001</x:v>
      </x:c>
      <x:c r="K34" s="64" t="n">
        <x:f>IF(AND(ISNUMBER('Operations'!K24)),'Operations'!K24,"n.a.")</x:f>
        <x:v>43452.302083333336</x:v>
      </x:c>
      <x:c r="L34" s="64" t="n">
        <x:f>IF(AND(ISNUMBER('Operations'!L24)),'Operations'!L24,"n.a.")</x:f>
        <x:v>47671.177083333336</x:v>
      </x:c>
      <x:c r="M34" s="64" t="n">
        <x:f>IF(AND(ISNUMBER('Operations'!M24)),'Operations'!M24,"n.a.")</x:f>
        <x:v>48374.32291666668</x:v>
      </x:c>
      <x:c r="N34" s="64" t="n">
        <x:f>IF(AND(ISNUMBER('Operations'!N24)),'Operations'!N24,"n.a.")</x:f>
        <x:v>45561.739583333336</x:v>
      </x:c>
      <x:c r="O34" s="64" t="n">
        <x:f>IF(AND(ISNUMBER('Operations'!O24)),'Operations'!O24,"n.a.")</x:f>
        <x:v>46264.885416666664</x:v>
      </x:c>
      <x:c r="P34" s="64" t="n">
        <x:f>IF(AND(ISNUMBER('Operations'!P24)),'Operations'!P24,"n.a.")</x:f>
        <x:v>50483.76041666668</x:v>
      </x:c>
      <x:c r="Q34" s="64" t="n">
        <x:f>IF(AND(ISNUMBER('Operations'!Q24)),'Operations'!Q24,"n.a.")</x:f>
        <x:v>51186.90624999999</x:v>
      </x:c>
      <x:c r="R34" s="64" t="n">
        <x:f>IF(AND(ISNUMBER('Operations'!R24)),'Operations'!R24,"n.a.")</x:f>
        <x:v>51890.052083333336</x:v>
      </x:c>
    </x:row>
    <x:row r="35" ht="21" customHeight="1">
      <x:c r="A35" s="2"/>
      <x:c r="B35" s="2"/>
      <x:c r="C35" s="2" t="str">
        <x:v>Capital-work cash</x:v>
      </x:c>
      <x:c r="D35" s="2"/>
      <x:c r="E35" s="2"/>
      <x:c r="F35" s="2"/>
      <x:c r="G35" s="64" t="n">
        <x:f>IF(AND(ISNUMBER('Operations'!G19)),'Operations'!G19,"n.a.")</x:f>
        <x:v>26750</x:v>
      </x:c>
      <x:c r="H35" s="64" t="n">
        <x:f>IF(AND(ISNUMBER('Operations'!H19)),'Operations'!H19,"n.a.")</x:f>
        <x:v>26750</x:v>
      </x:c>
      <x:c r="I35" s="64" t="n">
        <x:f>IF(AND(ISNUMBER('Operations'!I19)),'Operations'!I19,"n.a.")</x:f>
        <x:v>26750</x:v>
      </x:c>
      <x:c r="J35" s="64" t="n">
        <x:f>IF(AND(ISNUMBER('Operations'!J19)),'Operations'!J19,"n.a.")</x:f>
        <x:v>41750</x:v>
      </x:c>
      <x:c r="K35" s="64" t="n">
        <x:f>IF(AND(ISNUMBER('Operations'!K19)),'Operations'!K19,"n.a.")</x:f>
        <x:v>99250</x:v>
      </x:c>
      <x:c r="L35" s="64" t="n">
        <x:f>IF(AND(ISNUMBER('Operations'!L19)),'Operations'!L19,"n.a.")</x:f>
        <x:v>26750</x:v>
      </x:c>
      <x:c r="M35" s="64" t="n">
        <x:f>IF(AND(ISNUMBER('Operations'!M19)),'Operations'!M19,"n.a.")</x:f>
        <x:v>26750</x:v>
      </x:c>
      <x:c r="N35" s="64" t="n">
        <x:f>IF(AND(ISNUMBER('Operations'!N19)),'Operations'!N19,"n.a.")</x:f>
        <x:v>41750</x:v>
      </x:c>
      <x:c r="O35" s="64" t="n">
        <x:f>IF(AND(ISNUMBER('Operations'!O19)),'Operations'!O19,"n.a.")</x:f>
        <x:v>99250</x:v>
      </x:c>
      <x:c r="P35" s="64" t="n">
        <x:f>IF(AND(ISNUMBER('Operations'!P19)),'Operations'!P19,"n.a.")</x:f>
        <x:v>64750</x:v>
      </x:c>
      <x:c r="Q35" s="64" t="n">
        <x:f>IF(AND(ISNUMBER('Operations'!Q19)),'Operations'!Q19,"n.a.")</x:f>
        <x:v>26750</x:v>
      </x:c>
      <x:c r="R35" s="64" t="n">
        <x:f>IF(AND(ISNUMBER('Operations'!R19)),'Operations'!R19,"n.a.")</x:f>
        <x:v>26750</x:v>
      </x:c>
    </x:row>
    <x:row r="36" ht="21" customHeight="1">
      <x:c r="A36" s="2"/>
      <x:c r="B36" s="2"/>
      <x:c r="C36" s="2" t="str">
        <x:v>Cash after debt and capital</x:v>
      </x:c>
      <x:c r="D36" s="2"/>
      <x:c r="E36" s="2"/>
      <x:c r="F36" s="2"/>
      <x:c r="G36" s="63" t="n">
        <x:f>IF(AND(ISNUMBER(G34),ISNUMBER(G31),ISNUMBER(G35),ISNUMBER(G38)),G34-G31-G35-G38,"n.a.")</x:f>
        <x:v>-6969.552083333336</x:v>
      </x:c>
      <x:c r="H36" s="63" t="n">
        <x:f>IF(AND(ISNUMBER(H34),ISNUMBER(H31),ISNUMBER(H35),ISNUMBER(H38)),H34-H31-H35-H38,"n.a.")</x:f>
        <x:v>-6266.406249999993</x:v>
      </x:c>
      <x:c r="I36" s="63" t="n">
        <x:f>IF(AND(ISNUMBER(I34),ISNUMBER(I31),ISNUMBER(I35),ISNUMBER(I38)),I34-I31-I35-I38,"n.a.")</x:f>
        <x:v>-5563.260416666664</x:v>
      </x:c>
      <x:c r="J36" s="63" t="n">
        <x:f>IF(AND(ISNUMBER(J34),ISNUMBER(J31),ISNUMBER(J35),ISNUMBER(J38)),J34-J31-J35-J38,"n.a.")</x:f>
        <x:v>-23375.843749999993</x:v>
      </x:c>
      <x:c r="K36" s="63" t="n">
        <x:f>IF(AND(ISNUMBER(K34),ISNUMBER(K31),ISNUMBER(K35),ISNUMBER(K38)),K34-K31-K35-K38,"n.a.")</x:f>
        <x:v>-80172.69791666666</x:v>
      </x:c>
      <x:c r="L36" s="63" t="n">
        <x:f>IF(AND(ISNUMBER(L34),ISNUMBER(L31),ISNUMBER(L35),ISNUMBER(L38)),L34-L31-L35-L38,"n.a.")</x:f>
        <x:v>-3453.8229166666642</x:v>
      </x:c>
      <x:c r="M36" s="63" t="n">
        <x:f>IF(AND(ISNUMBER(M34),ISNUMBER(M31),ISNUMBER(M35),ISNUMBER(M38)),M34-M31-M35-M38,"n.a.")</x:f>
        <x:v>-8759.999343977197</x:v>
      </x:c>
      <x:c r="N36" s="63" t="n">
        <x:f>IF(AND(ISNUMBER(N34),ISNUMBER(N31),ISNUMBER(N35),ISNUMBER(N38)),N34-N31-N35-N38,"n.a.")</x:f>
        <x:v>-26572.58267731054</x:v>
      </x:c>
      <x:c r="O36" s="63" t="n">
        <x:f>IF(AND(ISNUMBER(O34),ISNUMBER(O31),ISNUMBER(O35),ISNUMBER(O38)),O34-O31-O35-O38,"n.a.")</x:f>
        <x:v>-83369.43684397721</x:v>
      </x:c>
      <x:c r="P36" s="63" t="n">
        <x:f>IF(AND(ISNUMBER(P34),ISNUMBER(P31),ISNUMBER(P35),ISNUMBER(P38)),P34-P31-P35-P38,"n.a.")</x:f>
        <x:v>-44650.56184397719</x:v>
      </x:c>
      <x:c r="Q36" s="63" t="n">
        <x:f>IF(AND(ISNUMBER(Q34),ISNUMBER(Q31),ISNUMBER(Q35),ISNUMBER(Q38)),Q34-Q31-Q35-Q38,"n.a.")</x:f>
        <x:v>-5947.416010643883</x:v>
      </x:c>
      <x:c r="R36" s="63" t="n">
        <x:f>IF(AND(ISNUMBER(R34),ISNUMBER(R31),ISNUMBER(R35),ISNUMBER(R38)),R34-R31-R35-R38,"n.a.")</x:f>
        <x:v>-5244.27017731054</x:v>
      </x:c>
    </x:row>
    <x:row r="37" ht="21" customHeight="1">
      <x:c r="A37" s="2"/>
      <x:c r="B37" s="2"/>
      <x:c r="C37" s="2" t="str">
        <x:v>Ending operating cash</x:v>
      </x:c>
      <x:c r="D37" s="2"/>
      <x:c r="E37" s="2"/>
      <x:c r="F37" s="2"/>
      <x:c r="G37" s="64" t="n">
        <x:f>IF(AND(ISNUMBER('Assumptions'!$D$22),ISNUMBER(G36)),'Assumptions'!$D$22+G36,"n.a.")</x:f>
        <x:v>143030.44791666666</x:v>
      </x:c>
      <x:c r="H37" s="63" t="n">
        <x:f>IF(AND(ISNUMBER(G37),ISNUMBER(H36)),G37+H36,"n.a.")</x:f>
        <x:v>136764.04166666666</x:v>
      </x:c>
      <x:c r="I37" s="63" t="n">
        <x:f>IF(AND(ISNUMBER(H37),ISNUMBER(I36)),H37+I36,"n.a.")</x:f>
        <x:v>131200.78125</x:v>
      </x:c>
      <x:c r="J37" s="63" t="n">
        <x:f>IF(AND(ISNUMBER(I37),ISNUMBER(J36)),I37+J36,"n.a.")</x:f>
        <x:v>107824.9375</x:v>
      </x:c>
      <x:c r="K37" s="63" t="n">
        <x:f>IF(AND(ISNUMBER(J37),ISNUMBER(K36)),J37+K36,"n.a.")</x:f>
        <x:v>27652.239583333343</x:v>
      </x:c>
      <x:c r="L37" s="63" t="n">
        <x:f>IF(AND(ISNUMBER(K37),ISNUMBER(L36)),K37+L36,"n.a.")</x:f>
        <x:v>24198.41666666668</x:v>
      </x:c>
      <x:c r="M37" s="63" t="n">
        <x:f>IF(AND(ISNUMBER(L37),ISNUMBER(M36)),L37+M36,"n.a.")</x:f>
        <x:v>15438.417322689482</x:v>
      </x:c>
      <x:c r="N37" s="63" t="n">
        <x:f>IF(AND(ISNUMBER(M37),ISNUMBER(N36)),M37+N36,"n.a.")</x:f>
        <x:v>-11134.165354621058</x:v>
      </x:c>
      <x:c r="O37" s="63" t="n">
        <x:f>IF(AND(ISNUMBER(N37),ISNUMBER(O36)),N37+O36,"n.a.")</x:f>
        <x:v>-94503.60219859827</x:v>
      </x:c>
      <x:c r="P37" s="63" t="n">
        <x:f>IF(AND(ISNUMBER(O37),ISNUMBER(P36)),O37+P36,"n.a.")</x:f>
        <x:v>-139154.16404257546</x:v>
      </x:c>
      <x:c r="Q37" s="63" t="n">
        <x:f>IF(AND(ISNUMBER(P37),ISNUMBER(Q36)),P37+Q36,"n.a.")</x:f>
        <x:v>-145101.58005321934</x:v>
      </x:c>
      <x:c r="R37" s="63" t="n">
        <x:f>IF(AND(ISNUMBER(Q37),ISNUMBER(R36)),Q37+R36,"n.a.")</x:f>
        <x:v>-150345.85023052988</x:v>
      </x:c>
    </x:row>
    <x:row r="38" ht="21" customHeight="1">
      <x:c r="A38" s="2"/>
      <x:c r="B38" s="2"/>
      <x:c r="C38" s="2" t="str">
        <x:v>Maturity principal cash repayment</x:v>
      </x:c>
      <x:c r="D38" s="2"/>
      <x:c r="E38" s="2"/>
      <x:c r="F38" s="2"/>
      <x:c r="G38" s="64" t="n">
        <x:f>IF(AND(ISNUMBER('Assumptions'!$D$40),ISNUMBER(G29),ISNUMBER(G32)),IF(1='Assumptions'!$D$40,G29-G32,0),"n.a.")</x:f>
        <x:v>0</x:v>
      </x:c>
      <x:c r="H38" s="64" t="n">
        <x:f>IF(AND(ISNUMBER('Assumptions'!$D$40),ISNUMBER(H29),ISNUMBER(H32)),IF(2='Assumptions'!$D$40,H29-H32,0),"n.a.")</x:f>
        <x:v>0</x:v>
      </x:c>
      <x:c r="I38" s="64" t="n">
        <x:f>IF(AND(ISNUMBER('Assumptions'!$D$40),ISNUMBER(I29),ISNUMBER(I32)),IF(3='Assumptions'!$D$40,I29-I32,0),"n.a.")</x:f>
        <x:v>0</x:v>
      </x:c>
      <x:c r="J38" s="64" t="n">
        <x:f>IF(AND(ISNUMBER('Assumptions'!$D$40),ISNUMBER(J29),ISNUMBER(J32)),IF(4='Assumptions'!$D$40,J29-J32,0),"n.a.")</x:f>
        <x:v>0</x:v>
      </x:c>
      <x:c r="K38" s="64" t="n">
        <x:f>IF(AND(ISNUMBER('Assumptions'!$D$40),ISNUMBER(K29),ISNUMBER(K32)),IF(5='Assumptions'!$D$40,K29-K32,0),"n.a.")</x:f>
        <x:v>0</x:v>
      </x:c>
      <x:c r="L38" s="64" t="n">
        <x:f>IF(AND(ISNUMBER('Assumptions'!$D$40),ISNUMBER(L29),ISNUMBER(L32)),IF(6='Assumptions'!$D$40,L29-L32,0),"n.a.")</x:f>
        <x:v>0</x:v>
      </x:c>
      <x:c r="M38" s="64" t="n">
        <x:f>IF(AND(ISNUMBER('Assumptions'!$D$40),ISNUMBER(M29),ISNUMBER(M32)),IF(7='Assumptions'!$D$40,M29-M32,0),"n.a.")</x:f>
        <x:v>0</x:v>
      </x:c>
      <x:c r="N38" s="64" t="n">
        <x:f>IF(AND(ISNUMBER('Assumptions'!$D$40),ISNUMBER(N29),ISNUMBER(N32)),IF(8='Assumptions'!$D$40,N29-N32,0),"n.a.")</x:f>
        <x:v>0</x:v>
      </x:c>
      <x:c r="O38" s="64" t="n">
        <x:f>IF(AND(ISNUMBER('Assumptions'!$D$40),ISNUMBER(O29),ISNUMBER(O32)),IF(9='Assumptions'!$D$40,O29-O32,0),"n.a.")</x:f>
        <x:v>0</x:v>
      </x:c>
      <x:c r="P38" s="64" t="n">
        <x:f>IF(AND(ISNUMBER('Assumptions'!$D$40),ISNUMBER(P29),ISNUMBER(P32)),IF(10='Assumptions'!$D$40,P29-P32,0),"n.a.")</x:f>
        <x:v>0</x:v>
      </x:c>
      <x:c r="Q38" s="64" t="n">
        <x:f>IF(AND(ISNUMBER('Assumptions'!$D$40),ISNUMBER(Q29),ISNUMBER(Q32)),IF(11='Assumptions'!$D$40,Q29-Q32,0),"n.a.")</x:f>
        <x:v>0</x:v>
      </x:c>
      <x:c r="R38" s="64"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328555.9335638633</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5" t="n">
        <x:f>IF(AND(ISNUMBER(D43),ISNUMBER(D9)),IF(D43=0,"n.a.",D9/D43),"n.a.")</x:f>
        <x:v>1.711154862537442</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4463452.268342096</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150345.85023052988</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949654.1497694701</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-150345.85023052988</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4" t="n">
        <x:f>23-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x:f>
        <x:v>0</x:v>
      </x:c>
      <x:c r="E10" s="2"/>
      <x:c r="F10" s="2"/>
      <x:c r="G10" s="2"/>
      <x:c r="H10" s="2"/>
      <x:c r="I10" s="2"/>
      <x:c r="J10" s="2"/>
    </x:row>
    <x:row r="11" ht="21" customHeight="1">
      <x:c r="A11" s="2"/>
      <x:c r="B11" s="2"/>
      <x:c r="C11" s="2" t="str">
        <x:v>Source rows needing correction</x:v>
      </x:c>
      <x:c r="D11" s="74" t="n">
        <x:f>COUNTIFS('Bay Turnover'!N10:N21,"Missing / invalid input")</x:f>
        <x:v>0</x:v>
      </x:c>
      <x:c r="E11" s="2"/>
      <x:c r="F11" s="2"/>
      <x:c r="G11" s="2"/>
      <x:c r="H11" s="2"/>
      <x:c r="I11" s="2"/>
      <x:c r="J11" s="2"/>
    </x:row>
    <x:row r="12" ht="21" customHeight="1">
      <x:c r="A12" s="2"/>
      <x:c r="B12" s="2"/>
      <x:c r="C12" s="2" t="str">
        <x:v>NOI cash-cost reconciliation</x:v>
      </x:c>
      <x:c r="D12" s="74" t="n">
        <x:f>IF(AND(ISNUMBER('Operations'!E22),ISNUMBER('Operations'!E16),ISNUMBER('Operations'!E21)),'Operations'!E22-'Operations'!E16+'Operations'!E21,"n.a.")</x:f>
        <x:v>-2.9103830456733704e-11</x:v>
      </x:c>
      <x:c r="E12" s="2"/>
      <x:c r="F12" s="2"/>
      <x:c r="G12" s="2"/>
      <x:c r="H12" s="2"/>
      <x:c r="I12" s="2"/>
      <x:c r="J12" s="2"/>
    </x:row>
    <x:row r="13" ht="21" customHeight="1">
      <x:c r="A13" s="2"/>
      <x:c r="B13" s="2"/>
      <x:c r="C13" s="2" t="str">
        <x:v>NCF reserve reconciliation</x:v>
      </x:c>
      <x:c r="D13" s="74" t="n">
        <x:f>IF(AND(ISNUMBER('Operations'!E24),ISNUMBER('Operations'!E22),ISNUMBER('Operations'!E23)),'Operations'!E24-'Operations'!E22+'Operations'!E23,"n.a.")</x:f>
        <x:v>0</x:v>
      </x:c>
      <x:c r="E13" s="2"/>
      <x:c r="F13" s="2"/>
      <x:c r="G13" s="2"/>
      <x:c r="H13" s="2"/>
      <x:c r="I13" s="2"/>
      <x:c r="J13" s="2"/>
    </x:row>
    <x:row r="14" ht="21" customHeight="1">
      <x:c r="A14" s="2"/>
      <x:c r="B14" s="2"/>
      <x:c r="C14" s="2" t="str">
        <x:v>Debt principal conservation</x:v>
      </x:c>
      <x:c r="D14" s="74"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4"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74"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Area rolls from opening leases through move-outs and new leases. New leased area is</x:v>
      </x:c>
      <x:c r="D23" s="2"/>
      <x:c r="E23" s="2"/>
      <x:c r="F23" s="2"/>
      <x:c r="G23" s="2"/>
      <x:c r="H23" s="2"/>
      <x:c r="I23" s="2"/>
      <x:c r="J23" s="2"/>
    </x:row>
    <x:row r="24" ht="21" customHeight="1">
      <x:c r="A24" s="2"/>
      <x:c r="B24" s="2"/>
      <x:c r="C24" s="2" t="str">
        <x:v>capped by vacancy; leasing costs apply only to accepted new area. Midmonth turnover</x:v>
      </x:c>
      <x:c r="D24" s="2"/>
      <x:c r="E24" s="2"/>
      <x:c r="F24" s="2"/>
      <x:c r="G24" s="2"/>
      <x:c r="H24" s="2"/>
      <x:c r="I24" s="2"/>
      <x:c r="J24" s="2"/>
    </x:row>
    <x:row r="25" ht="21" customHeight="1">
      <x:c r="A25" s="2"/>
      <x:c r="B25" s="2"/>
      <x:c r="C25" s="2" t="str">
        <x:v>determines average rent-producing and vacant area.</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Annual rent is a weighted cash base-rent assumption for the occupied bays. Reflect free</x:v>
      </x:c>
      <x:c r="D27" s="2"/>
      <x:c r="E27" s="2"/>
      <x:c r="F27" s="2"/>
      <x:c r="G27" s="2"/>
      <x:c r="H27" s="2"/>
      <x:c r="I27" s="2"/>
      <x:c r="J27" s="2"/>
    </x:row>
    <x:row r="28" ht="21" customHeight="1">
      <x:c r="A28" s="2"/>
      <x:c r="B28" s="2"/>
      <x:c r="C28" s="2" t="str">
        <x:v>rent in the rent or collection input once. This aggregate schedule does not reproduce</x:v>
      </x:c>
      <x:c r="D28" s="2"/>
      <x:c r="E28" s="2"/>
      <x:c r="F28" s="2"/>
      <x:c r="G28" s="2"/>
      <x:c r="H28" s="2"/>
      <x:c r="I28" s="2"/>
      <x:c r="J28" s="2"/>
    </x:row>
    <x:row r="29" ht="21" customHeight="1">
      <x:c r="A29" s="2"/>
      <x:c r="B29" s="2"/>
      <x:c r="C29" s="2" t="str">
        <x:v>individual lease steps or options.</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Monthly per-area operating costs exclude fixed property costs. Tenant improvements,</x:v>
      </x:c>
      <x:c r="D31" s="2"/>
      <x:c r="E31" s="2"/>
      <x:c r="F31" s="2"/>
      <x:c r="G31" s="2"/>
      <x:c r="H31" s="2"/>
      <x:c r="I31" s="2"/>
      <x:c r="J31" s="2"/>
    </x:row>
    <x:row r="32" ht="21" customHeight="1">
      <x:c r="A32" s="2"/>
      <x:c r="B32" s="2"/>
      <x:c r="C32" s="2" t="str">
        <x:v>leasing commissions, restoration and other capital are below NCF. Do not repeat the same</x:v>
      </x:c>
      <x:c r="D32" s="2"/>
      <x:c r="E32" s="2"/>
      <x:c r="F32" s="2"/>
      <x:c r="G32" s="2"/>
      <x:c r="H32" s="2"/>
      <x:c r="I32" s="2"/>
      <x:c r="J32" s="2"/>
    </x:row>
    <x:row r="33" ht="21" customHeight="1">
      <x:c r="A33" s="2"/>
      <x:c r="B33" s="2"/>
      <x:c r="C33" s="2" t="str">
        <x:v>vendor cost in more than one line.</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The model excludes separately billed tenant reimbursements and tenant business income.</x:v>
      </x:c>
      <x:c r="D35" s="2"/>
      <x:c r="E35" s="2"/>
      <x:c r="F35" s="2"/>
      <x:c r="G35" s="2"/>
      <x:c r="H35" s="2"/>
      <x:c r="I35" s="2"/>
      <x:c r="J35" s="2"/>
    </x:row>
    <x:row r="36" ht="21" customHeight="1">
      <x:c r="A36" s="2"/>
      <x:c r="B36" s="2"/>
      <x:c r="C36" s="2" t="str">
        <x:v>If reimbursements matter, reconcile gross property costs and recovered amounts</x:v>
      </x:c>
      <x:c r="D36" s="2"/>
      <x:c r="E36" s="2"/>
      <x:c r="F36" s="2"/>
      <x:c r="G36" s="2"/>
      <x:c r="H36" s="2"/>
      <x:c r="I36" s="2"/>
      <x:c r="J36" s="2"/>
    </x:row>
    <x:row r="37" ht="21" customHeight="1">
      <x:c r="A37" s="2"/>
      <x:c r="B37" s="2"/>
      <x:c r="C37" s="2" t="str">
        <x:v>separately before using the lender NCF adjustment. Bay suitability, tenant concentration</x:v>
      </x:c>
      <x:c r="D37" s="2"/>
      <x:c r="E37" s="2"/>
      <x:c r="F37" s="2"/>
      <x:c r="G37" s="2"/>
      <x:c r="H37" s="2"/>
      <x:c r="I37" s="2"/>
      <x:c r="J37" s="2"/>
    </x:row>
    <x:row r="38" ht="21" customHeight="1">
      <x:c r="A38" s="2"/>
      <x:c r="B38" s="2"/>
      <x:c r="C38" s="2" t="str">
        <x:v>and environmental exposure require separate evidence.</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Published by Jaken Finance Group. 833-264-7776 | info@jakenfinancegroup.com.</x:v>
      </x:c>
      <x:c r="D40" s="2"/>
      <x:c r="E40" s="2"/>
      <x:c r="F40" s="2"/>
      <x:c r="G40" s="2"/>
      <x:c r="H40" s="2"/>
      <x:c r="I40" s="2"/>
      <x:c r="J40" s="2"/>
    </x:row>
    <x:row r="41" ht="21" customHeight="1">
      <x:c r="A41" s="2"/>
      <x:c r="B41" s="2"/>
      <x:c r="C41" s="2"/>
      <x:c r="D41" s="2"/>
      <x:c r="E41" s="2"/>
      <x:c r="F41" s="2"/>
      <x:c r="G41" s="2"/>
      <x:c r="H41" s="2"/>
      <x:c r="I41" s="2"/>
      <x:c r="J41" s="2"/>
    </x:row>
    <x:row r="42" ht="21" customHeight="1">
      <x:c r="A42" s="2"/>
      <x:c r="B42" s="2"/>
      <x:c r="C42" s="2" t="str">
        <x:v>Every numerical assumption is illustrative. No current market quote, legal conclusion or</x:v>
      </x:c>
      <x:c r="D42" s="2"/>
      <x:c r="E42" s="2"/>
      <x:c r="F42" s="2"/>
      <x:c r="G42" s="2"/>
      <x:c r="H42" s="2"/>
      <x:c r="I42" s="2"/>
      <x:c r="J42" s="2"/>
    </x:row>
    <x:row r="43" ht="21" customHeight="1">
      <x:c r="A43" s="2"/>
      <x:c r="B43" s="2"/>
      <x:c r="C43" s="2" t="str">
        <x:v>lender eligibility is represented.</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NCF is a modeled cash measure after cash reserve deposits. An actual lender may adjust</x:v>
      </x:c>
      <x:c r="D45" s="2"/>
      <x:c r="E45" s="2"/>
      <x:c r="F45" s="2"/>
      <x:c r="G45" s="2"/>
      <x:c r="H45" s="2"/>
      <x:c r="I45" s="2"/>
      <x:c r="J45" s="2"/>
    </x:row>
    <x:row r="46" ht="21" customHeight="1">
      <x:c r="A46" s="2"/>
      <x:c r="B46" s="2"/>
      <x:c r="C46" s="2" t="str">
        <x:v>income, expenses, reserves, tax and business cash differently.</x:v>
      </x:c>
      <x:c r="D46" s="2"/>
      <x:c r="E46" s="2"/>
      <x:c r="F46" s="2"/>
      <x:c r="G46" s="2"/>
      <x:c r="H46" s="2"/>
      <x:c r="I46" s="2"/>
      <x:c r="J46" s="2"/>
    </x:row>
    <x:row r="47" ht="21" customHeight="1">
      <x:c r="A47" s="2"/>
      <x:c r="B47" s="2"/>
      <x:c r="C47" s="2"/>
      <x:c r="D47" s="2"/>
      <x:c r="E47" s="2"/>
      <x:c r="F47" s="2"/>
      <x:c r="G47" s="2"/>
      <x:c r="H47" s="2"/>
      <x:c r="I47" s="2"/>
      <x:c r="J47" s="2"/>
    </x:row>
    <x:row r="48" ht="21" customHeight="1">
      <x:c r="A48" s="2"/>
      <x:c r="B48" s="2"/>
      <x:c r="C48" s="2" t="str">
        <x:v>No tax return, appraisal, legal compliance, guaranty capacity or refinancing approval is</x:v>
      </x:c>
      <x:c r="D48" s="2"/>
      <x:c r="E48" s="2"/>
      <x:c r="F48" s="2"/>
      <x:c r="G48" s="2"/>
      <x:c r="H48" s="2"/>
      <x:c r="I48" s="2"/>
      <x:c r="J48" s="2"/>
    </x:row>
    <x:row r="49" ht="21" customHeight="1">
      <x:c r="A49" s="2"/>
      <x:c r="B49" s="2"/>
      <x:c r="C49" s="2" t="str">
        <x:v>established by the calculations.</x:v>
      </x:c>
      <x:c r="D49" s="2"/>
      <x:c r="E49" s="2"/>
      <x:c r="F49" s="2"/>
      <x:c r="G49" s="2"/>
      <x:c r="H49" s="2"/>
      <x:c r="I49" s="2"/>
      <x:c r="J49" s="2"/>
    </x:row>
    <x:row r="50" ht="21" customHeight="1">
      <x:c r="A50" s="2"/>
      <x:c r="B50" s="2"/>
      <x:c r="C50" s="2"/>
      <x:c r="D50" s="2"/>
      <x:c r="E50" s="2"/>
      <x:c r="F50" s="2"/>
      <x:c r="G50" s="2"/>
      <x:c r="H50" s="2"/>
      <x:c r="I50" s="2"/>
      <x:c r="J50" s="2"/>
    </x:row>
    <x:row r="51" ht="21" customHeight="1">
      <x:c r="A51" s="2"/>
      <x:c r="B51" s="2"/>
      <x:c r="C51" s="2" t="str">
        <x:v>Calculation methods and conventions are shown here. Check Review and replace</x:v>
      </x:c>
      <x:c r="D51" s="2"/>
      <x:c r="E51" s="2"/>
      <x:c r="F51" s="2"/>
      <x:c r="G51" s="2"/>
      <x:c r="H51" s="2"/>
      <x:c r="I51" s="2"/>
      <x:c r="J51" s="2"/>
    </x:row>
    <x:row r="52" ht="21" customHeight="1">
      <x:c r="A52" s="2"/>
      <x:c r="B52" s="2"/>
      <x:c r="C52" s="2" t="str">
        <x:v>illustrative inputs before relying on results.</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x:c r="D60" s="2"/>
      <x:c r="E60" s="2"/>
      <x:c r="F60" s="2"/>
      <x:c r="G60" s="2"/>
      <x:c r="H60" s="2"/>
      <x:c r="I60" s="2"/>
      <x:c r="J60" s="2"/>
    </x:row>
  </x:sheetData>
  <x:conditionalFormatting sqref="D10:D16">
    <x:cfRule type="expression" dxfId="5" priority="1">
      <x:formula>ABS(D10)&gt;0.01</x:formula>
    </x:cfRule>
  </x:conditionalFormatting>
  <x:pageMargins left="0.7" right="0.7" top="0.75" bottom="0.75" header="0.3" footer="0.3"/>
</x:worksheet>
</file>