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773281aa0de4ca6" /></Relationships>
</file>

<file path=xl/workbook.xml><?xml version="1.0" encoding="utf-8"?>
<x:workbook xmlns:x="http://schemas.openxmlformats.org/spreadsheetml/2006/main">
  <x:sheets>
    <x:sheet xmlns:r="http://schemas.openxmlformats.org/officeDocument/2006/relationships" name="Summary" sheetId="1" r:id="R11def47fedd74c6e"/>
    <x:sheet xmlns:r="http://schemas.openxmlformats.org/officeDocument/2006/relationships" name="Assumptions" sheetId="2" r:id="R2860240032a144d5"/>
    <x:sheet xmlns:r="http://schemas.openxmlformats.org/officeDocument/2006/relationships" name="Fleet and Freight Cash" sheetId="3" r:id="Ra06000bd08f44dae"/>
    <x:sheet xmlns:r="http://schemas.openxmlformats.org/officeDocument/2006/relationships" name="Operations" sheetId="4" r:id="R2aaf7fd24730458d"/>
    <x:sheet xmlns:r="http://schemas.openxmlformats.org/officeDocument/2006/relationships" name="Debt and Funding" sheetId="5" r:id="R3934fecc3e3846e3"/>
    <x:sheet xmlns:r="http://schemas.openxmlformats.org/officeDocument/2006/relationships" name="Review" sheetId="6" r:id="R5806cb678403439c"/>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222d5c1879041f8" /><Relationship Type="http://schemas.openxmlformats.org/officeDocument/2006/relationships/theme" Target="/xl/theme/theme1.xml" Id="R24c55b0f6b7e4623" /><Relationship Type="http://schemas.openxmlformats.org/officeDocument/2006/relationships/sharedStrings" Target="/xl/sharedStrings.xml" Id="R0ed8dc3adfb54ce2" /><Relationship Type="http://schemas.openxmlformats.org/officeDocument/2006/relationships/worksheet" Target="/xl/worksheets/sheet1.xml" Id="R11def47fedd74c6e" /><Relationship Type="http://schemas.openxmlformats.org/officeDocument/2006/relationships/worksheet" Target="/xl/worksheets/sheet2.xml" Id="R2860240032a144d5" /><Relationship Type="http://schemas.openxmlformats.org/officeDocument/2006/relationships/worksheet" Target="/xl/worksheets/sheet3.xml" Id="Ra06000bd08f44dae" /><Relationship Type="http://schemas.openxmlformats.org/officeDocument/2006/relationships/worksheet" Target="/xl/worksheets/sheet4.xml" Id="R2aaf7fd24730458d" /><Relationship Type="http://schemas.openxmlformats.org/officeDocument/2006/relationships/worksheet" Target="/xl/worksheets/sheet5.xml" Id="R3934fecc3e3846e3" /><Relationship Type="http://schemas.openxmlformats.org/officeDocument/2006/relationships/worksheet" Target="/xl/worksheets/sheet6.xml" Id="R5806cb678403439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Trucking and logistics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'Operations'!E19</x:f>
        <x:v>4864697.419354838</x:v>
      </x:c>
      <x:c r="E10" s="2"/>
      <x:c r="F10" s="2"/>
      <x:c r="G10" s="68" t="n">
        <x:f>'Operations'!G9</x:f>
        <x:v>46388</x:v>
      </x:c>
      <x:c r="H10" s="69" t="n">
        <x:f>'Debt and Funding'!G36</x:f>
        <x:v>105479.0860215054</x:v>
      </x:c>
      <x:c r="I10" s="69" t="n">
        <x:f>'Debt and Funding'!G37</x:f>
        <x:v>455479.0860215054</x:v>
      </x:c>
      <x:c r="J10" s="69" t="n">
        <x:f>'Debt and Funding'!G33</x:f>
        <x:v>3500000</x:v>
      </x:c>
      <x:c r="K10" s="2"/>
      <x:c r="L10" s="2"/>
    </x:row>
    <x:row r="11" ht="21" customHeight="1">
      <x:c r="A11" s="2"/>
      <x:c r="B11" s="2"/>
      <x:c r="C11" s="2" t="str">
        <x:v>Operating and other cash obligations</x:v>
      </x:c>
      <x:c r="D11" s="50" t="n">
        <x:f>'Operations'!E27</x:f>
        <x:v>3520800</x:v>
      </x:c>
      <x:c r="E11" s="2"/>
      <x:c r="F11" s="2"/>
      <x:c r="G11" s="68" t="n">
        <x:f>'Operations'!H9</x:f>
        <x:v>46419</x:v>
      </x:c>
      <x:c r="H11" s="69" t="n">
        <x:f>'Debt and Funding'!H36</x:f>
        <x:v>42999.247311827945</x:v>
      </x:c>
      <x:c r="I11" s="69" t="n">
        <x:f>'Debt and Funding'!H37</x:f>
        <x:v>498478.3333333334</x:v>
      </x:c>
      <x:c r="J11" s="69" t="n">
        <x:f>'Debt and Funding'!H33</x:f>
        <x:v>3500000</x:v>
      </x:c>
      <x:c r="K11" s="2"/>
      <x:c r="L11" s="2"/>
    </x:row>
    <x:row r="12" ht="21" customHeight="1">
      <x:c r="A12" s="2"/>
      <x:c r="B12" s="2"/>
      <x:c r="C12" s="2" t="str">
        <x:v>Combined cash after business obligations</x:v>
      </x:c>
      <x:c r="D12" s="50" t="n">
        <x:f>'Operations'!E28</x:f>
        <x:v>1343897.4193548388</x:v>
      </x:c>
      <x:c r="E12" s="2"/>
      <x:c r="F12" s="2"/>
      <x:c r="G12" s="68" t="n">
        <x:f>'Operations'!I9</x:f>
        <x:v>46447</x:v>
      </x:c>
      <x:c r="H12" s="69" t="n">
        <x:f>'Debt and Funding'!I36</x:f>
        <x:v>140804.08602150538</x:v>
      </x:c>
      <x:c r="I12" s="69" t="n">
        <x:f>'Debt and Funding'!I37</x:f>
        <x:v>639282.4193548388</x:v>
      </x:c>
      <x:c r="J12" s="69" t="n">
        <x:f>'Debt and Funding'!I33</x:f>
        <x:v>3500000</x:v>
      </x:c>
      <x:c r="K12" s="2"/>
      <x:c r="L12" s="2"/>
    </x:row>
    <x:row r="13" ht="21" customHeight="1">
      <x:c r="A13" s="2"/>
      <x:c r="B13" s="2"/>
      <x:c r="C13" s="2" t="str">
        <x:v>Annual reserve deposits</x:v>
      </x:c>
      <x:c r="D13" s="50" t="n">
        <x:f>'Operations'!E29</x:f>
        <x:v>0</x:v>
      </x:c>
      <x:c r="E13" s="2"/>
      <x:c r="F13" s="2"/>
      <x:c r="G13" s="68" t="n">
        <x:f>'Operations'!J9</x:f>
        <x:v>46478</x:v>
      </x:c>
      <x:c r="H13" s="69" t="n">
        <x:f>'Debt and Funding'!J36</x:f>
        <x:v>76687.58064516126</x:v>
      </x:c>
      <x:c r="I13" s="69" t="n">
        <x:f>'Debt and Funding'!J37</x:f>
        <x:v>715970</x:v>
      </x:c>
      <x:c r="J13" s="69" t="n">
        <x:f>'Debt and Funding'!J33</x:f>
        <x:v>3500000</x:v>
      </x:c>
      <x:c r="K13" s="2"/>
      <x:c r="L13" s="2"/>
    </x:row>
    <x:row r="14" ht="21" customHeight="1">
      <x:c r="A14" s="2"/>
      <x:c r="B14" s="2"/>
      <x:c r="C14" s="2" t="str">
        <x:v>Cash NCF before debt and capital</x:v>
      </x:c>
      <x:c r="D14" s="50" t="n">
        <x:f>'Operations'!E30</x:f>
        <x:v>1343897.4193548388</x:v>
      </x:c>
      <x:c r="E14" s="2"/>
      <x:c r="F14" s="2"/>
      <x:c r="G14" s="68" t="n">
        <x:f>'Operations'!K9</x:f>
        <x:v>46508</x:v>
      </x:c>
      <x:c r="H14" s="69" t="n">
        <x:f>'Debt and Funding'!K36</x:f>
        <x:v>107115.75268817208</x:v>
      </x:c>
      <x:c r="I14" s="69" t="n">
        <x:f>'Debt and Funding'!K37</x:f>
        <x:v>823085.752688172</x:v>
      </x:c>
      <x:c r="J14" s="69" t="n">
        <x:f>'Debt and Funding'!K33</x:f>
        <x:v>3500000</x:v>
      </x:c>
      <x:c r="K14" s="2"/>
      <x:c r="L14" s="2"/>
    </x:row>
    <x:row r="15" ht="21" customHeight="1">
      <x:c r="A15" s="2"/>
      <x:c r="B15" s="2"/>
      <x:c r="C15" s="2" t="str">
        <x:v>Residual cash used for sizing</x:v>
      </x:c>
      <x:c r="D15" s="50" t="n">
        <x:f>'Debt and Funding'!D9</x:f>
        <x:v>1343897.4193548388</x:v>
      </x:c>
      <x:c r="E15" s="2"/>
      <x:c r="F15" s="2"/>
      <x:c r="G15" s="68" t="n">
        <x:f>'Operations'!L9</x:f>
        <x:v>46539</x:v>
      </x:c>
      <x:c r="H15" s="69" t="n">
        <x:f>'Debt and Funding'!L36</x:f>
        <x:v>76687.58064516126</x:v>
      </x:c>
      <x:c r="I15" s="69" t="n">
        <x:f>'Debt and Funding'!L37</x:f>
        <x:v>899773.3333333333</x:v>
      </x:c>
      <x:c r="J15" s="69" t="n">
        <x:f>'Debt and Funding'!L33</x:f>
        <x:v>3500000</x:v>
      </x:c>
      <x:c r="K15" s="2"/>
      <x:c r="L15" s="2"/>
    </x:row>
    <x:row r="16" ht="21" customHeight="1">
      <x:c r="A16" s="2"/>
      <x:c r="B16" s="2"/>
      <x:c r="C16" s="2" t="str">
        <x:v>DSCR loan capacity</x:v>
      </x:c>
      <x:c r="D16" s="50" t="n">
        <x:f>'Debt and Funding'!D11</x:f>
        <x:v>13268988.603661159</x:v>
      </x:c>
      <x:c r="E16" s="2"/>
      <x:c r="F16" s="2"/>
      <x:c r="G16" s="68" t="n">
        <x:f>'Operations'!M9</x:f>
        <x:v>46569</x:v>
      </x:c>
      <x:c r="H16" s="69" t="n">
        <x:f>'Debt and Funding'!M36</x:f>
        <x:v>102441.83537433796</x:v>
      </x:c>
      <x:c r="I16" s="69" t="n">
        <x:f>'Debt and Funding'!M37</x:f>
        <x:v>1002215.1687076712</x:v>
      </x:c>
      <x:c r="J16" s="69" t="n">
        <x:f>'Debt and Funding'!M33</x:f>
        <x:v>3495326.082686166</x:v>
      </x:c>
      <x:c r="K16" s="2"/>
      <x:c r="L16" s="2"/>
    </x:row>
    <x:row r="17" ht="21" customHeight="1">
      <x:c r="A17" s="2"/>
      <x:c r="B17" s="2"/>
      <x:c r="C17" s="2" t="str">
        <x:v>LTV loan capacity</x:v>
      </x:c>
      <x:c r="D17" s="50" t="n">
        <x:f>'Debt and Funding'!D12</x:f>
        <x:v>3900000</x:v>
      </x:c>
      <x:c r="E17" s="2"/>
      <x:c r="F17" s="2"/>
      <x:c r="G17" s="68" t="n">
        <x:f>'Operations'!N9</x:f>
        <x:v>46600</x:v>
      </x:c>
      <x:c r="H17" s="69" t="n">
        <x:f>'Debt and Funding'!N36</x:f>
        <x:v>-72772.25064716746</x:v>
      </x:c>
      <x:c r="I17" s="69" t="n">
        <x:f>'Debt and Funding'!N37</x:f>
        <x:v>929442.9180605038</x:v>
      </x:c>
      <x:c r="J17" s="69" t="n">
        <x:f>'Debt and Funding'!N33</x:f>
        <x:v>3490626.848320215</x:v>
      </x:c>
      <x:c r="K17" s="2"/>
      <x:c r="L17" s="2"/>
    </x:row>
    <x:row r="18" ht="21" customHeight="1">
      <x:c r="A18" s="2"/>
      <x:c r="B18" s="2"/>
      <x:c r="C18" s="2" t="str">
        <x:v>Debt-yield loan capacity</x:v>
      </x:c>
      <x:c r="D18" s="50" t="n">
        <x:f>'Debt and Funding'!D13</x:f>
        <x:v>14932193.548387099</x:v>
      </x:c>
      <x:c r="E18" s="2"/>
      <x:c r="F18" s="2"/>
      <x:c r="G18" s="68" t="n">
        <x:f>'Operations'!O9</x:f>
        <x:v>46631</x:v>
      </x:c>
      <x:c r="H18" s="69" t="n">
        <x:f>'Debt and Funding'!O36</x:f>
        <x:v>72013.66333132713</x:v>
      </x:c>
      <x:c r="I18" s="69" t="n">
        <x:f>'Debt and Funding'!O37</x:f>
        <x:v>1001456.5813918309</x:v>
      </x:c>
      <x:c r="J18" s="69" t="n">
        <x:f>'Debt and Funding'!O33</x:f>
        <x:v>3485902.1597681153</x:v>
      </x:c>
      <x:c r="K18" s="2"/>
      <x:c r="L18" s="2"/>
    </x:row>
    <x:row r="19" ht="21" customHeight="1">
      <x:c r="A19" s="2"/>
      <x:c r="B19" s="2"/>
      <x:c r="C19" s="56" t="str">
        <x:v>Sized loan</x:v>
      </x:c>
      <x:c r="D19" s="65" t="n">
        <x:f>'Debt and Funding'!D14</x:f>
        <x:v>3500000</x:v>
      </x:c>
      <x:c r="E19" s="2"/>
      <x:c r="F19" s="2"/>
      <x:c r="G19" s="68" t="n">
        <x:f>'Operations'!P9</x:f>
        <x:v>46661</x:v>
      </x:c>
      <x:c r="H19" s="69" t="n">
        <x:f>'Debt and Funding'!P36</x:f>
        <x:v>102441.83537433796</x:v>
      </x:c>
      <x:c r="I19" s="69" t="n">
        <x:f>'Debt and Funding'!P37</x:f>
        <x:v>1103898.4167661688</x:v>
      </x:c>
      <x:c r="J19" s="69" t="n">
        <x:f>'Debt and Funding'!P33</x:f>
        <x:v>3481151.879153025</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72013.66333132713</x:v>
      </x:c>
      <x:c r="I20" s="69" t="n">
        <x:f>'Debt and Funding'!Q37</x:f>
        <x:v>1175912.0800974958</x:v>
      </x:c>
      <x:c r="J20" s="69" t="n">
        <x:f>'Debt and Funding'!Q33</x:f>
        <x:v>3476375.8678512694</x:v>
      </x:c>
      <x:c r="K20" s="2"/>
      <x:c r="L20" s="2"/>
    </x:row>
    <x:row r="21" ht="21" customHeight="1">
      <x:c r="A21" s="2"/>
      <x:c r="B21" s="2"/>
      <x:c r="C21" s="2" t="str">
        <x:v>First-year debt service</x:v>
      </x:c>
      <x:c r="D21" s="50" t="n">
        <x:f>'Debt and Funding'!D43</x:f>
        <x:v>255543.50388300465</x:v>
      </x:c>
      <x:c r="E21" s="2"/>
      <x:c r="F21" s="2"/>
      <x:c r="G21" s="68" t="n">
        <x:f>'Operations'!R9</x:f>
        <x:v>46722</x:v>
      </x:c>
      <x:c r="H21" s="69" t="n">
        <x:f>'Debt and Funding'!R36</x:f>
        <x:v>102441.83537433796</x:v>
      </x:c>
      <x:c r="I21" s="69" t="n">
        <x:f>'Debt and Funding'!R37</x:f>
        <x:v>1278353.9154718337</x:v>
      </x:c>
      <x:c r="J21" s="69" t="n">
        <x:f>'Debt and Funding'!R33</x:f>
        <x:v>3471573.986488296</x:v>
      </x:c>
      <x:c r="K21" s="2"/>
      <x:c r="L21" s="2"/>
    </x:row>
    <x:row r="22" ht="21" customHeight="1">
      <x:c r="A22" s="2"/>
      <x:c r="B22" s="2"/>
      <x:c r="C22" s="2" t="str">
        <x:v>Residual cash / property debt service</x:v>
      </x:c>
      <x:c r="D22" s="67" t="n">
        <x:f>'Debt and Funding'!D44</x:f>
        <x:v>5.258977038876773</x:v>
      </x:c>
      <x:c r="E22" s="2"/>
      <x:c r="F22" s="2"/>
      <x:c r="G22" s="2"/>
      <x:c r="H22" s="2"/>
      <x:c r="I22" s="2"/>
      <x:c r="J22" s="2"/>
      <x:c r="K22" s="2"/>
      <x:c r="L22" s="2"/>
    </x:row>
    <x:row r="23" ht="21" customHeight="1">
      <x:c r="A23" s="2"/>
      <x:c r="B23" s="2"/>
      <x:c r="C23" s="2" t="str">
        <x:v>Signed closing equity requirement</x:v>
      </x:c>
      <x:c r="D23" s="50" t="n">
        <x:f>'Debt and Funding'!D18</x:f>
        <x:v>2310000</x:v>
      </x:c>
      <x:c r="E23" s="2"/>
      <x:c r="F23" s="2"/>
      <x:c r="G23" s="2"/>
      <x:c r="H23" s="2"/>
      <x:c r="I23" s="2"/>
      <x:c r="J23" s="2"/>
      <x:c r="K23" s="2"/>
      <x:c r="L23" s="2"/>
    </x:row>
    <x:row r="24" ht="21" customHeight="1">
      <x:c r="A24" s="2"/>
      <x:c r="B24" s="2"/>
      <x:c r="C24" s="2" t="str">
        <x:v>Available equity less closing need</x:v>
      </x:c>
      <x:c r="D24" s="50" t="n">
        <x:f>'Debt and Funding'!D19</x:f>
        <x:v>690000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690000</x:v>
      </x:c>
      <x:c r="E26" s="2"/>
      <x:c r="F26" s="2"/>
      <x:c r="G26" s="2"/>
      <x:c r="H26" s="2"/>
      <x:c r="I26" s="2"/>
      <x:c r="J26" s="2"/>
      <x:c r="K26" s="2"/>
      <x:c r="L26" s="2"/>
    </x:row>
    <x:row r="27" ht="21" customHeight="1">
      <x:c r="A27" s="2"/>
      <x:c r="B27" s="2"/>
      <x:c r="C27" s="2" t="str">
        <x:v>Year-end principal</x:v>
      </x:c>
      <x:c r="D27" s="50" t="n">
        <x:f>'Debt and Funding'!D45</x:f>
        <x:v>3471573.986488296</x:v>
      </x:c>
      <x:c r="E27" s="2"/>
      <x:c r="F27" s="2"/>
      <x:c r="G27" s="2" t="str">
        <x:v>Edit blue cells in Fleet and Freight Cash and Assumptions.</x:v>
      </x:c>
      <x:c r="H27" s="2"/>
      <x:c r="I27" s="2"/>
      <x:c r="J27" s="2"/>
      <x:c r="K27" s="2"/>
      <x:c r="L27" s="2"/>
    </x:row>
    <x:row r="28" ht="21" customHeight="1">
      <x:c r="A28" s="2"/>
      <x:c r="B28" s="2"/>
      <x:c r="C28" s="2" t="str">
        <x:v>Principal due at maturity</x:v>
      </x:c>
      <x:c r="D28" s="50" t="n">
        <x:f>'Debt and Funding'!D20</x:f>
        <x:v>3207730.067746341</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6000000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6000000</x:v>
      </x:c>
      <x:c r="E11" s="2"/>
      <x:c r="F11" s="2"/>
      <x:c r="G11" s="2"/>
      <x:c r="H11" s="2"/>
      <x:c r="I11" s="2"/>
      <x:c r="J11" s="2"/>
    </x:row>
    <x:row r="12" ht="35" customHeight="1">
      <x:c r="A12" s="2"/>
      <x:c r="B12" s="2"/>
      <x:c r="C12" s="28" t="str">
        <x:v>Downside</x:v>
      </x:c>
      <x:c r="D12" s="27" t="n">
        <x:v>5000000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5200000</x:v>
      </x:c>
      <x:c r="E13" s="22" t="str">
        <x:v>USD</x:v>
      </x:c>
      <x:c r="F13" s="2"/>
      <x:c r="G13" s="2"/>
      <x:c r="H13" s="2"/>
      <x:c r="I13" s="2"/>
      <x:c r="J13" s="2"/>
    </x:row>
    <x:row r="14" ht="35" customHeight="1">
      <x:c r="A14" s="2"/>
      <x:c r="B14" s="2"/>
      <x:c r="C14" s="28" t="str">
        <x:v>Base</x:v>
      </x:c>
      <x:c r="D14" s="27" t="n">
        <x:v>5200000</x:v>
      </x:c>
      <x:c r="E14" s="2"/>
      <x:c r="F14" s="2"/>
      <x:c r="G14" s="42" t="str">
        <x:v>Downside inputs feed the same model. Change D5 to recalculate.</x:v>
      </x:c>
      <x:c r="H14" s="2"/>
      <x:c r="I14" s="2"/>
      <x:c r="J14" s="2"/>
    </x:row>
    <x:row r="15" ht="21" customHeight="1">
      <x:c r="A15" s="2"/>
      <x:c r="B15" s="2"/>
      <x:c r="C15" s="28" t="str">
        <x:v>Downside</x:v>
      </x:c>
      <x:c r="D15" s="27" t="n">
        <x:v>5200000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156000</x:v>
      </x:c>
      <x:c r="E16" s="22" t="str">
        <x:v>USD</x:v>
      </x:c>
      <x:c r="F16" s="2"/>
      <x:c r="G16" s="42" t="str">
        <x:v>NCF adjustment changes sizing only, not cash actually available.</x:v>
      </x:c>
      <x:c r="H16" s="2"/>
      <x:c r="I16" s="2"/>
      <x:c r="J16" s="2"/>
    </x:row>
    <x:row r="17" ht="21" customHeight="1">
      <x:c r="A17" s="2"/>
      <x:c r="B17" s="2"/>
      <x:c r="C17" s="28" t="str">
        <x:v>Base</x:v>
      </x:c>
      <x:c r="D17" s="27" t="n">
        <x:v>156000</x:v>
      </x:c>
      <x:c r="E17" s="2"/>
      <x:c r="F17" s="2"/>
      <x:c r="G17" s="2"/>
      <x:c r="H17" s="2"/>
      <x:c r="I17" s="2"/>
      <x:c r="J17" s="2"/>
    </x:row>
    <x:row r="18" ht="35" customHeight="1">
      <x:c r="A18" s="2"/>
      <x:c r="B18" s="2"/>
      <x:c r="C18" s="28" t="str">
        <x:v>Downside</x:v>
      </x:c>
      <x:c r="D18" s="27" t="n">
        <x:v>156000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104000</x:v>
      </x:c>
      <x:c r="E19" s="22" t="str">
        <x:v>USD</x:v>
      </x:c>
      <x:c r="F19" s="2"/>
      <x:c r="G19" s="2"/>
      <x:c r="H19" s="2"/>
      <x:c r="I19" s="2"/>
      <x:c r="J19" s="2"/>
    </x:row>
    <x:row r="20" ht="35" customHeight="1">
      <x:c r="A20" s="2"/>
      <x:c r="B20" s="2"/>
      <x:c r="C20" s="28" t="str">
        <x:v>Base</x:v>
      </x:c>
      <x:c r="D20" s="27" t="n">
        <x:v>104000</x:v>
      </x:c>
      <x:c r="E20" s="2"/>
      <x:c r="F20" s="2"/>
      <x:c r="G20" s="42" t="str">
        <x:v>Restricted closing reserves are not available operating cash.</x:v>
      </x:c>
      <x:c r="H20" s="2"/>
      <x:c r="I20" s="2"/>
      <x:c r="J20" s="2"/>
    </x:row>
    <x:row r="21" ht="21" customHeight="1">
      <x:c r="A21" s="2"/>
      <x:c r="B21" s="2"/>
      <x:c r="C21" s="28" t="str">
        <x:v>Downside</x:v>
      </x:c>
      <x:c r="D21" s="27" t="n">
        <x:v>104000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350000</x:v>
      </x:c>
      <x:c r="E22" s="22" t="str">
        <x:v>USD</x:v>
      </x:c>
      <x:c r="F22" s="2"/>
      <x:c r="G22" s="42" t="str">
        <x:v>Opening operating cash is funded in closing uses exactly once.</x:v>
      </x:c>
      <x:c r="H22" s="2"/>
      <x:c r="I22" s="2"/>
      <x:c r="J22" s="2"/>
    </x:row>
    <x:row r="23" ht="21" customHeight="1">
      <x:c r="A23" s="2"/>
      <x:c r="B23" s="2"/>
      <x:c r="C23" s="28" t="str">
        <x:v>Base</x:v>
      </x:c>
      <x:c r="D23" s="27" t="n">
        <x:v>350000</x:v>
      </x:c>
      <x:c r="E23" s="2"/>
      <x:c r="F23" s="2"/>
      <x:c r="G23" s="2"/>
      <x:c r="H23" s="2"/>
      <x:c r="I23" s="2"/>
      <x:c r="J23" s="2"/>
    </x:row>
    <x:row r="24" ht="35" customHeight="1">
      <x:c r="A24" s="2"/>
      <x:c r="B24" s="2"/>
      <x:c r="C24" s="28" t="str">
        <x:v>Downside</x:v>
      </x:c>
      <x:c r="D24" s="27" t="n">
        <x:v>350000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3000000</x:v>
      </x:c>
      <x:c r="E25" s="22" t="str">
        <x:v>USD</x:v>
      </x:c>
      <x:c r="F25" s="2"/>
      <x:c r="G25" s="2"/>
      <x:c r="H25" s="2"/>
      <x:c r="I25" s="2"/>
      <x:c r="J25" s="2"/>
    </x:row>
    <x:row r="26" ht="21" customHeight="1">
      <x:c r="A26" s="2"/>
      <x:c r="B26" s="2"/>
      <x:c r="C26" s="28" t="str">
        <x:v>Base</x:v>
      </x:c>
      <x:c r="D26" s="27" t="n">
        <x:v>3000000</x:v>
      </x:c>
      <x:c r="E26" s="2"/>
      <x:c r="F26" s="2"/>
      <x:c r="G26" s="2"/>
      <x:c r="H26" s="2"/>
      <x:c r="I26" s="2"/>
      <x:c r="J26" s="2"/>
    </x:row>
    <x:row r="27" ht="21" customHeight="1">
      <x:c r="A27" s="2"/>
      <x:c r="B27" s="2"/>
      <x:c r="C27" s="28" t="str">
        <x:v>Downside</x:v>
      </x:c>
      <x:c r="D27" s="27" t="n">
        <x:v>3000000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3500000</x:v>
      </x:c>
      <x:c r="E28" s="22" t="str">
        <x:v>USD</x:v>
      </x:c>
      <x:c r="F28" s="2"/>
      <x:c r="G28" s="2"/>
      <x:c r="H28" s="2"/>
      <x:c r="I28" s="2"/>
      <x:c r="J28" s="2"/>
    </x:row>
    <x:row r="29" ht="21" customHeight="1">
      <x:c r="A29" s="2"/>
      <x:c r="B29" s="2"/>
      <x:c r="C29" s="28" t="str">
        <x:v>Base</x:v>
      </x:c>
      <x:c r="D29" s="27" t="n">
        <x:v>3500000</x:v>
      </x:c>
      <x:c r="E29" s="2"/>
      <x:c r="F29" s="2"/>
      <x:c r="G29" s="2"/>
      <x:c r="H29" s="2"/>
      <x:c r="I29" s="2"/>
      <x:c r="J29" s="2"/>
    </x:row>
    <x:row r="30" ht="75" customHeight="1">
      <x:c r="A30" s="2"/>
      <x:c r="B30" s="2"/>
      <x:c r="C30" s="28" t="str">
        <x:v>Downside</x:v>
      </x:c>
      <x:c r="D30" s="27" t="n">
        <x:v>3500000</x:v>
      </x:c>
      <x:c r="E30" s="2"/>
      <x:c r="F30" s="2"/>
      <x:c r="G30" s="42" t="str">
        <x:v>All miles incur fuel and driver cost; only loaded miles earn the entered net freight rate. Include fuel surcharges and deductions in that net rate exactly once. Enter supported fleet capacity without implying legal hours-of-service permission.</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Receivables use current monthly billings times entered days divided by calendar days. Collections equal sales less the signed receivable change; no separate AR deduction is taken. A negative result flags a cash need in this simplified proxy.</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Other business debt includes fleet debt not included in operating inputs. Fleet maintenance is in maintenance capital or other operating costs, never both; additional fleet/terminal purchases are expansion capital.</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Maximum supported miles / truck / month</x:v>
      </x:c>
      <x:c r="D88" s="37" t="n">
        <x:f>IF($D$5=1,IF(ISNUMBER(D89),IF(AND(D89&gt;=0,D89&lt;=1000000000000),D89,"n.a."),"n.a."),IF($D$5=2,IF(ISNUMBER(D90),IF(AND(D90&gt;=0,D90&lt;=1000000000000),D90,"n.a."),"n.a."),"n.a."))</x:f>
        <x:v>10000</x:v>
      </x:c>
      <x:c r="E88" s="22" t="str">
        <x:v>miles</x:v>
      </x:c>
      <x:c r="F88" s="2"/>
      <x:c r="G88" s="2"/>
      <x:c r="H88" s="2"/>
      <x:c r="I88" s="2"/>
      <x:c r="J88" s="2"/>
    </x:row>
    <x:row r="89" ht="21" customHeight="1">
      <x:c r="A89" s="2"/>
      <x:c r="B89" s="2"/>
      <x:c r="C89" s="28" t="str">
        <x:v>Base</x:v>
      </x:c>
      <x:c r="D89" s="16" t="n">
        <x:v>10000</x:v>
      </x:c>
      <x:c r="E89" s="2"/>
      <x:c r="F89" s="2"/>
      <x:c r="G89" s="2"/>
      <x:c r="H89" s="2"/>
      <x:c r="I89" s="2"/>
      <x:c r="J89" s="2"/>
    </x:row>
    <x:row r="90" ht="21" customHeight="1">
      <x:c r="A90" s="2"/>
      <x:c r="B90" s="2"/>
      <x:c r="C90" s="28" t="str">
        <x:v>Downside</x:v>
      </x:c>
      <x:c r="D90" s="16" t="n">
        <x:v>10000</x:v>
      </x:c>
      <x:c r="E90" s="2"/>
      <x:c r="F90" s="2"/>
      <x:c r="G90" s="2"/>
      <x:c r="H90" s="2"/>
      <x:c r="I90" s="2"/>
      <x:c r="J90" s="2"/>
    </x:row>
    <x:row r="91" ht="21" customHeight="1">
      <x:c r="A91" s="2"/>
      <x:c r="B91" s="2"/>
      <x:c r="C91" s="24" t="str">
        <x:v>Opening collectible freight receivables</x:v>
      </x:c>
      <x:c r="D91" s="26" t="n">
        <x:f>IF($D$5=1,IF(ISNUMBER(D92),IF(AND(D92&gt;=0,D92&lt;=1000000000000),D92,"n.a."),"n.a."),IF($D$5=2,IF(ISNUMBER(D93),IF(AND(D93&gt;=0,D93&lt;=1000000000000),D93,"n.a."),"n.a."),"n.a."))</x:f>
        <x:v>470000</x:v>
      </x:c>
      <x:c r="E91" s="22" t="str">
        <x:v>USD</x:v>
      </x:c>
      <x:c r="F91" s="2"/>
      <x:c r="G91" s="2"/>
      <x:c r="H91" s="2"/>
      <x:c r="I91" s="2"/>
      <x:c r="J91" s="2"/>
    </x:row>
    <x:row r="92" ht="21" customHeight="1">
      <x:c r="A92" s="2"/>
      <x:c r="B92" s="2"/>
      <x:c r="C92" s="28" t="str">
        <x:v>Base</x:v>
      </x:c>
      <x:c r="D92" s="27" t="n">
        <x:v>470000</x:v>
      </x:c>
      <x:c r="E92" s="2"/>
      <x:c r="F92" s="2"/>
      <x:c r="G92" s="2"/>
      <x:c r="H92" s="2"/>
      <x:c r="I92" s="2"/>
      <x:c r="J92" s="2"/>
    </x:row>
    <x:row r="93" ht="21" customHeight="1">
      <x:c r="A93" s="2"/>
      <x:c r="B93" s="2"/>
      <x:c r="C93" s="28" t="str">
        <x:v>Downside</x:v>
      </x:c>
      <x:c r="D93" s="27" t="n">
        <x:v>470000</x:v>
      </x:c>
      <x:c r="E93" s="2"/>
      <x:c r="F93" s="2"/>
      <x:c r="G93" s="2"/>
      <x:c r="H93" s="2"/>
      <x:c r="I93" s="2"/>
      <x:c r="J93" s="2"/>
    </x:row>
    <x:row r="94" ht="21" customHeight="1">
      <x:c r="A94" s="2"/>
      <x:c r="B94" s="2"/>
      <x:c r="C94" s="2"/>
      <x:c r="D94" s="2"/>
      <x:c r="E94" s="2"/>
      <x:c r="F94" s="2"/>
      <x:c r="G94" s="2"/>
      <x:c r="H94" s="2"/>
      <x:c r="I94" s="2"/>
      <x:c r="J94" s="2"/>
    </x:row>
    <x:row r="95" ht="21" customHeight="1">
      <x:c r="A95" s="2"/>
      <x:c r="B95" s="2"/>
      <x:c r="C95" s="2"/>
      <x:c r="D95" s="2"/>
      <x:c r="E95" s="2"/>
      <x:c r="F95" s="2"/>
      <x:c r="G95" s="2"/>
      <x:c r="H95" s="2"/>
      <x:c r="I95" s="2"/>
      <x:c r="J95" s="2"/>
    </x:row>
    <x:row r="96" ht="21" customHeight="1">
      <x:c r="A96" s="2"/>
      <x:c r="B96" s="2"/>
      <x:c r="C96" s="2"/>
      <x:c r="D96" s="2"/>
      <x:c r="E96" s="2"/>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sheetData>
  <x:dataValidations count="58">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Fleet and Freight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Active trucks</x:v>
      </x:c>
      <x:c r="E9" s="21" t="str">
        <x:v>Planned miles / truck</x:v>
      </x:c>
      <x:c r="F9" s="21" t="str">
        <x:v>Loaded-mile fraction</x:v>
      </x:c>
      <x:c r="G9" s="21" t="str">
        <x:v>Revenue / loaded mile</x:v>
      </x:c>
      <x:c r="H9" s="21" t="str">
        <x:v>Fuel price / gallon</x:v>
      </x:c>
      <x:c r="I9" s="21" t="str">
        <x:v>Miles / gallon</x:v>
      </x:c>
      <x:c r="J9" s="21" t="str">
        <x:v>Driver/contractor cash / mile</x:v>
      </x:c>
      <x:c r="K9" s="21" t="str">
        <x:v>Other fleet/business cash costs</x:v>
      </x:c>
      <x:c r="L9" s="21" t="str">
        <x:v>Freight receivable days</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20</x:v>
      </x:c>
      <x:c r="E10" s="16" t="n">
        <x:v>8500</x:v>
      </x:c>
      <x:c r="F10" s="30" t="n">
        <x:v>0.82</x:v>
      </x:c>
      <x:c r="G10" s="27" t="n">
        <x:v>2.9</x:v>
      </x:c>
      <x:c r="H10" s="27" t="n">
        <x:v>3.9</x:v>
      </x:c>
      <x:c r="I10" s="16" t="n">
        <x:v>6.8</x:v>
      </x:c>
      <x:c r="J10" s="27" t="n">
        <x:v>0.72</x:v>
      </x:c>
      <x:c r="K10" s="27" t="n">
        <x:v>57000</x:v>
      </x:c>
      <x:c r="L10" s="16" t="n">
        <x:v>35</x:v>
      </x:c>
      <x:c r="M10" s="27" t="n">
        <x:v>0</x:v>
      </x:c>
      <x:c r="N10" s="13" t="str">
        <x:f>IF(AND(IF(ISNUMBER(D10),AND(D10&gt;=0,D10&lt;=1000000000000),FALSE),IF(ISNUMBER(E10),AND(E10&gt;=0,E10&lt;=1000000000000),FALSE),IF(ISNUMBER(F10),AND(F10&gt;=0,F10&lt;=1),FALSE),IF(ISNUMBER(G10),AND(G10&gt;=0,G10&lt;=1000000000000),FALSE),IF(ISNUMBER(H10),AND(H10&gt;=0,H10&lt;=1000000000000),FALSE),IF(ISNUMBER(I10),AND(I10&gt;=0.01,I10&lt;=100),FALSE),IF(ISNUMBER(J10),AND(J10&gt;=0,J10&lt;=1000000000000),FALSE),IF(ISNUMBER(K10),AND(K10&gt;=0,K10&lt;=1000000000000),FALSE),IF(ISNUMBER(L10),AND(L10&gt;=0,L10&lt;=365),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20</x:v>
      </x:c>
      <x:c r="E11" s="16" t="n">
        <x:v>8500</x:v>
      </x:c>
      <x:c r="F11" s="30" t="n">
        <x:v>0.82</x:v>
      </x:c>
      <x:c r="G11" s="27" t="n">
        <x:v>2.9</x:v>
      </x:c>
      <x:c r="H11" s="27" t="n">
        <x:v>3.9</x:v>
      </x:c>
      <x:c r="I11" s="16" t="n">
        <x:v>6.8</x:v>
      </x:c>
      <x:c r="J11" s="27" t="n">
        <x:v>0.72</x:v>
      </x:c>
      <x:c r="K11" s="27" t="n">
        <x:v>57000</x:v>
      </x:c>
      <x:c r="L11" s="16" t="n">
        <x:v>35</x:v>
      </x:c>
      <x:c r="M11" s="27" t="n">
        <x:v>0</x:v>
      </x:c>
      <x:c r="N11" s="13" t="str">
        <x:f>IF(AND(IF(ISNUMBER(D11),AND(D11&gt;=0,D11&lt;=1000000000000),FALSE),IF(ISNUMBER(E11),AND(E11&gt;=0,E11&lt;=1000000000000),FALSE),IF(ISNUMBER(F11),AND(F11&gt;=0,F11&lt;=1),FALSE),IF(ISNUMBER(G11),AND(G11&gt;=0,G11&lt;=1000000000000),FALSE),IF(ISNUMBER(H11),AND(H11&gt;=0,H11&lt;=1000000000000),FALSE),IF(ISNUMBER(I11),AND(I11&gt;=0.01,I11&lt;=100),FALSE),IF(ISNUMBER(J11),AND(J11&gt;=0,J11&lt;=1000000000000),FALSE),IF(ISNUMBER(K11),AND(K11&gt;=0,K11&lt;=1000000000000),FALSE),IF(ISNUMBER(L11),AND(L11&gt;=0,L11&lt;=365),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20</x:v>
      </x:c>
      <x:c r="E12" s="16" t="n">
        <x:v>8500</x:v>
      </x:c>
      <x:c r="F12" s="30" t="n">
        <x:v>0.82</x:v>
      </x:c>
      <x:c r="G12" s="27" t="n">
        <x:v>2.9</x:v>
      </x:c>
      <x:c r="H12" s="27" t="n">
        <x:v>3.9</x:v>
      </x:c>
      <x:c r="I12" s="16" t="n">
        <x:v>6.8</x:v>
      </x:c>
      <x:c r="J12" s="27" t="n">
        <x:v>0.72</x:v>
      </x:c>
      <x:c r="K12" s="27" t="n">
        <x:v>57000</x:v>
      </x:c>
      <x:c r="L12" s="16" t="n">
        <x:v>35</x:v>
      </x:c>
      <x:c r="M12" s="27" t="n">
        <x:v>0</x:v>
      </x:c>
      <x:c r="N12" s="13" t="str">
        <x:f>IF(AND(IF(ISNUMBER(D12),AND(D12&gt;=0,D12&lt;=1000000000000),FALSE),IF(ISNUMBER(E12),AND(E12&gt;=0,E12&lt;=1000000000000),FALSE),IF(ISNUMBER(F12),AND(F12&gt;=0,F12&lt;=1),FALSE),IF(ISNUMBER(G12),AND(G12&gt;=0,G12&lt;=1000000000000),FALSE),IF(ISNUMBER(H12),AND(H12&gt;=0,H12&lt;=1000000000000),FALSE),IF(ISNUMBER(I12),AND(I12&gt;=0.01,I12&lt;=100),FALSE),IF(ISNUMBER(J12),AND(J12&gt;=0,J12&lt;=1000000000000),FALSE),IF(ISNUMBER(K12),AND(K12&gt;=0,K12&lt;=1000000000000),FALSE),IF(ISNUMBER(L12),AND(L12&gt;=0,L12&lt;=365),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20</x:v>
      </x:c>
      <x:c r="E13" s="16" t="n">
        <x:v>8500</x:v>
      </x:c>
      <x:c r="F13" s="30" t="n">
        <x:v>0.82</x:v>
      </x:c>
      <x:c r="G13" s="27" t="n">
        <x:v>2.9</x:v>
      </x:c>
      <x:c r="H13" s="27" t="n">
        <x:v>3.9</x:v>
      </x:c>
      <x:c r="I13" s="16" t="n">
        <x:v>6.8</x:v>
      </x:c>
      <x:c r="J13" s="27" t="n">
        <x:v>0.72</x:v>
      </x:c>
      <x:c r="K13" s="27" t="n">
        <x:v>57000</x:v>
      </x:c>
      <x:c r="L13" s="16" t="n">
        <x:v>35</x:v>
      </x:c>
      <x:c r="M13" s="27" t="n">
        <x:v>0</x:v>
      </x:c>
      <x:c r="N13" s="13" t="str">
        <x:f>IF(AND(IF(ISNUMBER(D13),AND(D13&gt;=0,D13&lt;=1000000000000),FALSE),IF(ISNUMBER(E13),AND(E13&gt;=0,E13&lt;=1000000000000),FALSE),IF(ISNUMBER(F13),AND(F13&gt;=0,F13&lt;=1),FALSE),IF(ISNUMBER(G13),AND(G13&gt;=0,G13&lt;=1000000000000),FALSE),IF(ISNUMBER(H13),AND(H13&gt;=0,H13&lt;=1000000000000),FALSE),IF(ISNUMBER(I13),AND(I13&gt;=0.01,I13&lt;=100),FALSE),IF(ISNUMBER(J13),AND(J13&gt;=0,J13&lt;=1000000000000),FALSE),IF(ISNUMBER(K13),AND(K13&gt;=0,K13&lt;=1000000000000),FALSE),IF(ISNUMBER(L13),AND(L13&gt;=0,L13&lt;=365),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20</x:v>
      </x:c>
      <x:c r="E14" s="16" t="n">
        <x:v>8500</x:v>
      </x:c>
      <x:c r="F14" s="30" t="n">
        <x:v>0.82</x:v>
      </x:c>
      <x:c r="G14" s="27" t="n">
        <x:v>2.9</x:v>
      </x:c>
      <x:c r="H14" s="27" t="n">
        <x:v>3.9</x:v>
      </x:c>
      <x:c r="I14" s="16" t="n">
        <x:v>6.8</x:v>
      </x:c>
      <x:c r="J14" s="27" t="n">
        <x:v>0.72</x:v>
      </x:c>
      <x:c r="K14" s="27" t="n">
        <x:v>57000</x:v>
      </x:c>
      <x:c r="L14" s="16" t="n">
        <x:v>35</x:v>
      </x:c>
      <x:c r="M14" s="27" t="n">
        <x:v>0</x:v>
      </x:c>
      <x:c r="N14" s="13" t="str">
        <x:f>IF(AND(IF(ISNUMBER(D14),AND(D14&gt;=0,D14&lt;=1000000000000),FALSE),IF(ISNUMBER(E14),AND(E14&gt;=0,E14&lt;=1000000000000),FALSE),IF(ISNUMBER(F14),AND(F14&gt;=0,F14&lt;=1),FALSE),IF(ISNUMBER(G14),AND(G14&gt;=0,G14&lt;=1000000000000),FALSE),IF(ISNUMBER(H14),AND(H14&gt;=0,H14&lt;=1000000000000),FALSE),IF(ISNUMBER(I14),AND(I14&gt;=0.01,I14&lt;=100),FALSE),IF(ISNUMBER(J14),AND(J14&gt;=0,J14&lt;=1000000000000),FALSE),IF(ISNUMBER(K14),AND(K14&gt;=0,K14&lt;=1000000000000),FALSE),IF(ISNUMBER(L14),AND(L14&gt;=0,L14&lt;=365),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20</x:v>
      </x:c>
      <x:c r="E15" s="16" t="n">
        <x:v>8500</x:v>
      </x:c>
      <x:c r="F15" s="30" t="n">
        <x:v>0.82</x:v>
      </x:c>
      <x:c r="G15" s="27" t="n">
        <x:v>2.9</x:v>
      </x:c>
      <x:c r="H15" s="27" t="n">
        <x:v>3.9</x:v>
      </x:c>
      <x:c r="I15" s="16" t="n">
        <x:v>6.8</x:v>
      </x:c>
      <x:c r="J15" s="27" t="n">
        <x:v>0.72</x:v>
      </x:c>
      <x:c r="K15" s="27" t="n">
        <x:v>57000</x:v>
      </x:c>
      <x:c r="L15" s="16" t="n">
        <x:v>35</x:v>
      </x:c>
      <x:c r="M15" s="27" t="n">
        <x:v>0</x:v>
      </x:c>
      <x:c r="N15" s="13" t="str">
        <x:f>IF(AND(IF(ISNUMBER(D15),AND(D15&gt;=0,D15&lt;=1000000000000),FALSE),IF(ISNUMBER(E15),AND(E15&gt;=0,E15&lt;=1000000000000),FALSE),IF(ISNUMBER(F15),AND(F15&gt;=0,F15&lt;=1),FALSE),IF(ISNUMBER(G15),AND(G15&gt;=0,G15&lt;=1000000000000),FALSE),IF(ISNUMBER(H15),AND(H15&gt;=0,H15&lt;=1000000000000),FALSE),IF(ISNUMBER(I15),AND(I15&gt;=0.01,I15&lt;=100),FALSE),IF(ISNUMBER(J15),AND(J15&gt;=0,J15&lt;=1000000000000),FALSE),IF(ISNUMBER(K15),AND(K15&gt;=0,K15&lt;=1000000000000),FALSE),IF(ISNUMBER(L15),AND(L15&gt;=0,L15&lt;=365),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20</x:v>
      </x:c>
      <x:c r="E16" s="16" t="n">
        <x:v>8500</x:v>
      </x:c>
      <x:c r="F16" s="30" t="n">
        <x:v>0.82</x:v>
      </x:c>
      <x:c r="G16" s="27" t="n">
        <x:v>2.9</x:v>
      </x:c>
      <x:c r="H16" s="27" t="n">
        <x:v>3.9</x:v>
      </x:c>
      <x:c r="I16" s="16" t="n">
        <x:v>6.8</x:v>
      </x:c>
      <x:c r="J16" s="27" t="n">
        <x:v>0.72</x:v>
      </x:c>
      <x:c r="K16" s="27" t="n">
        <x:v>57000</x:v>
      </x:c>
      <x:c r="L16" s="16" t="n">
        <x:v>35</x:v>
      </x:c>
      <x:c r="M16" s="27" t="n">
        <x:v>0</x:v>
      </x:c>
      <x:c r="N16" s="13" t="str">
        <x:f>IF(AND(IF(ISNUMBER(D16),AND(D16&gt;=0,D16&lt;=1000000000000),FALSE),IF(ISNUMBER(E16),AND(E16&gt;=0,E16&lt;=1000000000000),FALSE),IF(ISNUMBER(F16),AND(F16&gt;=0,F16&lt;=1),FALSE),IF(ISNUMBER(G16),AND(G16&gt;=0,G16&lt;=1000000000000),FALSE),IF(ISNUMBER(H16),AND(H16&gt;=0,H16&lt;=1000000000000),FALSE),IF(ISNUMBER(I16),AND(I16&gt;=0.01,I16&lt;=100),FALSE),IF(ISNUMBER(J16),AND(J16&gt;=0,J16&lt;=1000000000000),FALSE),IF(ISNUMBER(K16),AND(K16&gt;=0,K16&lt;=1000000000000),FALSE),IF(ISNUMBER(L16),AND(L16&gt;=0,L16&lt;=365),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20</x:v>
      </x:c>
      <x:c r="E17" s="16" t="n">
        <x:v>8500</x:v>
      </x:c>
      <x:c r="F17" s="30" t="n">
        <x:v>0.82</x:v>
      </x:c>
      <x:c r="G17" s="27" t="n">
        <x:v>2.9</x:v>
      </x:c>
      <x:c r="H17" s="27" t="n">
        <x:v>3.9</x:v>
      </x:c>
      <x:c r="I17" s="16" t="n">
        <x:v>6.8</x:v>
      </x:c>
      <x:c r="J17" s="27" t="n">
        <x:v>0.72</x:v>
      </x:c>
      <x:c r="K17" s="27" t="n">
        <x:v>57000</x:v>
      </x:c>
      <x:c r="L17" s="16" t="n">
        <x:v>35</x:v>
      </x:c>
      <x:c r="M17" s="27" t="n">
        <x:v>160000</x:v>
      </x:c>
      <x:c r="N17" s="13" t="str">
        <x:f>IF(AND(IF(ISNUMBER(D17),AND(D17&gt;=0,D17&lt;=1000000000000),FALSE),IF(ISNUMBER(E17),AND(E17&gt;=0,E17&lt;=1000000000000),FALSE),IF(ISNUMBER(F17),AND(F17&gt;=0,F17&lt;=1),FALSE),IF(ISNUMBER(G17),AND(G17&gt;=0,G17&lt;=1000000000000),FALSE),IF(ISNUMBER(H17),AND(H17&gt;=0,H17&lt;=1000000000000),FALSE),IF(ISNUMBER(I17),AND(I17&gt;=0.01,I17&lt;=100),FALSE),IF(ISNUMBER(J17),AND(J17&gt;=0,J17&lt;=1000000000000),FALSE),IF(ISNUMBER(K17),AND(K17&gt;=0,K17&lt;=1000000000000),FALSE),IF(ISNUMBER(L17),AND(L17&gt;=0,L17&lt;=365),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20</x:v>
      </x:c>
      <x:c r="E18" s="16" t="n">
        <x:v>8500</x:v>
      </x:c>
      <x:c r="F18" s="30" t="n">
        <x:v>0.82</x:v>
      </x:c>
      <x:c r="G18" s="27" t="n">
        <x:v>2.9</x:v>
      </x:c>
      <x:c r="H18" s="27" t="n">
        <x:v>3.9</x:v>
      </x:c>
      <x:c r="I18" s="16" t="n">
        <x:v>6.8</x:v>
      </x:c>
      <x:c r="J18" s="27" t="n">
        <x:v>0.72</x:v>
      </x:c>
      <x:c r="K18" s="27" t="n">
        <x:v>57000</x:v>
      </x:c>
      <x:c r="L18" s="16" t="n">
        <x:v>35</x:v>
      </x:c>
      <x:c r="M18" s="27" t="n">
        <x:v>0</x:v>
      </x:c>
      <x:c r="N18" s="13" t="str">
        <x:f>IF(AND(IF(ISNUMBER(D18),AND(D18&gt;=0,D18&lt;=1000000000000),FALSE),IF(ISNUMBER(E18),AND(E18&gt;=0,E18&lt;=1000000000000),FALSE),IF(ISNUMBER(F18),AND(F18&gt;=0,F18&lt;=1),FALSE),IF(ISNUMBER(G18),AND(G18&gt;=0,G18&lt;=1000000000000),FALSE),IF(ISNUMBER(H18),AND(H18&gt;=0,H18&lt;=1000000000000),FALSE),IF(ISNUMBER(I18),AND(I18&gt;=0.01,I18&lt;=100),FALSE),IF(ISNUMBER(J18),AND(J18&gt;=0,J18&lt;=1000000000000),FALSE),IF(ISNUMBER(K18),AND(K18&gt;=0,K18&lt;=1000000000000),FALSE),IF(ISNUMBER(L18),AND(L18&gt;=0,L18&lt;=365),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20</x:v>
      </x:c>
      <x:c r="E19" s="16" t="n">
        <x:v>8500</x:v>
      </x:c>
      <x:c r="F19" s="30" t="n">
        <x:v>0.82</x:v>
      </x:c>
      <x:c r="G19" s="27" t="n">
        <x:v>2.9</x:v>
      </x:c>
      <x:c r="H19" s="27" t="n">
        <x:v>3.9</x:v>
      </x:c>
      <x:c r="I19" s="16" t="n">
        <x:v>6.8</x:v>
      </x:c>
      <x:c r="J19" s="27" t="n">
        <x:v>0.72</x:v>
      </x:c>
      <x:c r="K19" s="27" t="n">
        <x:v>57000</x:v>
      </x:c>
      <x:c r="L19" s="16" t="n">
        <x:v>35</x:v>
      </x:c>
      <x:c r="M19" s="27" t="n">
        <x:v>0</x:v>
      </x:c>
      <x:c r="N19" s="13" t="str">
        <x:f>IF(AND(IF(ISNUMBER(D19),AND(D19&gt;=0,D19&lt;=1000000000000),FALSE),IF(ISNUMBER(E19),AND(E19&gt;=0,E19&lt;=1000000000000),FALSE),IF(ISNUMBER(F19),AND(F19&gt;=0,F19&lt;=1),FALSE),IF(ISNUMBER(G19),AND(G19&gt;=0,G19&lt;=1000000000000),FALSE),IF(ISNUMBER(H19),AND(H19&gt;=0,H19&lt;=1000000000000),FALSE),IF(ISNUMBER(I19),AND(I19&gt;=0.01,I19&lt;=100),FALSE),IF(ISNUMBER(J19),AND(J19&gt;=0,J19&lt;=1000000000000),FALSE),IF(ISNUMBER(K19),AND(K19&gt;=0,K19&lt;=1000000000000),FALSE),IF(ISNUMBER(L19),AND(L19&gt;=0,L19&lt;=365),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20</x:v>
      </x:c>
      <x:c r="E20" s="16" t="n">
        <x:v>8500</x:v>
      </x:c>
      <x:c r="F20" s="30" t="n">
        <x:v>0.82</x:v>
      </x:c>
      <x:c r="G20" s="27" t="n">
        <x:v>2.9</x:v>
      </x:c>
      <x:c r="H20" s="27" t="n">
        <x:v>3.9</x:v>
      </x:c>
      <x:c r="I20" s="16" t="n">
        <x:v>6.8</x:v>
      </x:c>
      <x:c r="J20" s="27" t="n">
        <x:v>0.72</x:v>
      </x:c>
      <x:c r="K20" s="27" t="n">
        <x:v>57000</x:v>
      </x:c>
      <x:c r="L20" s="16" t="n">
        <x:v>35</x:v>
      </x:c>
      <x:c r="M20" s="27" t="n">
        <x:v>0</x:v>
      </x:c>
      <x:c r="N20" s="13" t="str">
        <x:f>IF(AND(IF(ISNUMBER(D20),AND(D20&gt;=0,D20&lt;=1000000000000),FALSE),IF(ISNUMBER(E20),AND(E20&gt;=0,E20&lt;=1000000000000),FALSE),IF(ISNUMBER(F20),AND(F20&gt;=0,F20&lt;=1),FALSE),IF(ISNUMBER(G20),AND(G20&gt;=0,G20&lt;=1000000000000),FALSE),IF(ISNUMBER(H20),AND(H20&gt;=0,H20&lt;=1000000000000),FALSE),IF(ISNUMBER(I20),AND(I20&gt;=0.01,I20&lt;=100),FALSE),IF(ISNUMBER(J20),AND(J20&gt;=0,J20&lt;=1000000000000),FALSE),IF(ISNUMBER(K20),AND(K20&gt;=0,K20&lt;=1000000000000),FALSE),IF(ISNUMBER(L20),AND(L20&gt;=0,L20&lt;=365),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20</x:v>
      </x:c>
      <x:c r="E21" s="16" t="n">
        <x:v>8500</x:v>
      </x:c>
      <x:c r="F21" s="30" t="n">
        <x:v>0.82</x:v>
      </x:c>
      <x:c r="G21" s="27" t="n">
        <x:v>2.9</x:v>
      </x:c>
      <x:c r="H21" s="27" t="n">
        <x:v>3.9</x:v>
      </x:c>
      <x:c r="I21" s="16" t="n">
        <x:v>6.8</x:v>
      </x:c>
      <x:c r="J21" s="27" t="n">
        <x:v>0.72</x:v>
      </x:c>
      <x:c r="K21" s="27" t="n">
        <x:v>57000</x:v>
      </x:c>
      <x:c r="L21" s="16" t="n">
        <x:v>35</x:v>
      </x:c>
      <x:c r="M21" s="27" t="n">
        <x:v>0</x:v>
      </x:c>
      <x:c r="N21" s="13" t="str">
        <x:f>IF(AND(IF(ISNUMBER(D21),AND(D21&gt;=0,D21&lt;=1000000000000),FALSE),IF(ISNUMBER(E21),AND(E21&gt;=0,E21&lt;=1000000000000),FALSE),IF(ISNUMBER(F21),AND(F21&gt;=0,F21&lt;=1),FALSE),IF(ISNUMBER(G21),AND(G21&gt;=0,G21&lt;=1000000000000),FALSE),IF(ISNUMBER(H21),AND(H21&gt;=0,H21&lt;=1000000000000),FALSE),IF(ISNUMBER(I21),AND(I21&gt;=0.01,I21&lt;=100),FALSE),IF(ISNUMBER(J21),AND(J21&gt;=0,J21&lt;=1000000000000),FALSE),IF(ISNUMBER(K21),AND(K21&gt;=0,K21&lt;=1000000000000),FALSE),IF(ISNUMBER(L21),AND(L21&gt;=0,L21&lt;=365),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0.01</x:formula1>
      <x:formula2>100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365</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0.01</x:formula1>
      <x:formula2>100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365</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0.01</x:formula1>
      <x:formula2>100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365</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0.01</x:formula1>
      <x:formula2>100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365</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0.01</x:formula1>
      <x:formula2>100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365</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0.01</x:formula1>
      <x:formula2>100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365</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0.01</x:formula1>
      <x:formula2>100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365</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0.01</x:formula1>
      <x:formula2>100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365</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0.01</x:formula1>
      <x:formula2>100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365</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0.01</x:formula1>
      <x:formula2>100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365</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0.01</x:formula1>
      <x:formula2>100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365</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0.01</x:formula1>
      <x:formula2>100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365</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Total miles within entered fleet capacity</x:v>
      </x:c>
      <x:c r="D10" s="2" t="str">
        <x:v>miles</x:v>
      </x:c>
      <x:c r="E10" s="49" t="n">
        <x:f>IF(COUNT(G10:R10)=12,SUM(G10:R10),"n.a.")</x:f>
        <x:v>2040000</x:v>
      </x:c>
      <x:c r="F10" s="2"/>
      <x:c r="G10" s="48" t="n">
        <x:f>IF(AND('Fleet and Freight Cash'!N10="OK"),IF(AND(ISNUMBER('Fleet and Freight Cash'!$D$10),ISNUMBER('Fleet and Freight Cash'!$E$10),ISNUMBER('Assumptions'!$D$61),ISNUMBER('Assumptions'!$D$88)),'Fleet and Freight Cash'!$D$10*MIN('Fleet and Freight Cash'!$E$10*'Assumptions'!$D$61,'Assumptions'!$D$88),"n.a."),"n.a.")</x:f>
        <x:v>170000</x:v>
      </x:c>
      <x:c r="H10" s="48" t="n">
        <x:f>IF(AND('Fleet and Freight Cash'!N11="OK"),IF(AND(ISNUMBER('Fleet and Freight Cash'!$D$11),ISNUMBER('Fleet and Freight Cash'!$E$11),ISNUMBER('Assumptions'!$D$61),ISNUMBER('Assumptions'!$D$88)),'Fleet and Freight Cash'!$D$11*MIN('Fleet and Freight Cash'!$E$11*'Assumptions'!$D$61,'Assumptions'!$D$88),"n.a."),"n.a.")</x:f>
        <x:v>170000</x:v>
      </x:c>
      <x:c r="I10" s="48" t="n">
        <x:f>IF(AND('Fleet and Freight Cash'!N12="OK"),IF(AND(ISNUMBER('Fleet and Freight Cash'!$D$12),ISNUMBER('Fleet and Freight Cash'!$E$12),ISNUMBER('Assumptions'!$D$61),ISNUMBER('Assumptions'!$D$88)),'Fleet and Freight Cash'!$D$12*MIN('Fleet and Freight Cash'!$E$12*'Assumptions'!$D$61,'Assumptions'!$D$88),"n.a."),"n.a.")</x:f>
        <x:v>170000</x:v>
      </x:c>
      <x:c r="J10" s="48" t="n">
        <x:f>IF(AND('Fleet and Freight Cash'!N13="OK"),IF(AND(ISNUMBER('Fleet and Freight Cash'!$D$13),ISNUMBER('Fleet and Freight Cash'!$E$13),ISNUMBER('Assumptions'!$D$61),ISNUMBER('Assumptions'!$D$88)),'Fleet and Freight Cash'!$D$13*MIN('Fleet and Freight Cash'!$E$13*'Assumptions'!$D$61,'Assumptions'!$D$88),"n.a."),"n.a.")</x:f>
        <x:v>170000</x:v>
      </x:c>
      <x:c r="K10" s="48" t="n">
        <x:f>IF(AND('Fleet and Freight Cash'!N14="OK"),IF(AND(ISNUMBER('Fleet and Freight Cash'!$D$14),ISNUMBER('Fleet and Freight Cash'!$E$14),ISNUMBER('Assumptions'!$D$61),ISNUMBER('Assumptions'!$D$88)),'Fleet and Freight Cash'!$D$14*MIN('Fleet and Freight Cash'!$E$14*'Assumptions'!$D$61,'Assumptions'!$D$88),"n.a."),"n.a.")</x:f>
        <x:v>170000</x:v>
      </x:c>
      <x:c r="L10" s="48" t="n">
        <x:f>IF(AND('Fleet and Freight Cash'!N15="OK"),IF(AND(ISNUMBER('Fleet and Freight Cash'!$D$15),ISNUMBER('Fleet and Freight Cash'!$E$15),ISNUMBER('Assumptions'!$D$61),ISNUMBER('Assumptions'!$D$88)),'Fleet and Freight Cash'!$D$15*MIN('Fleet and Freight Cash'!$E$15*'Assumptions'!$D$61,'Assumptions'!$D$88),"n.a."),"n.a.")</x:f>
        <x:v>170000</x:v>
      </x:c>
      <x:c r="M10" s="48" t="n">
        <x:f>IF(AND('Fleet and Freight Cash'!N16="OK"),IF(AND(ISNUMBER('Fleet and Freight Cash'!$D$16),ISNUMBER('Fleet and Freight Cash'!$E$16),ISNUMBER('Assumptions'!$D$61),ISNUMBER('Assumptions'!$D$88)),'Fleet and Freight Cash'!$D$16*MIN('Fleet and Freight Cash'!$E$16*'Assumptions'!$D$61,'Assumptions'!$D$88),"n.a."),"n.a.")</x:f>
        <x:v>170000</x:v>
      </x:c>
      <x:c r="N10" s="48" t="n">
        <x:f>IF(AND('Fleet and Freight Cash'!N17="OK"),IF(AND(ISNUMBER('Fleet and Freight Cash'!$D$17),ISNUMBER('Fleet and Freight Cash'!$E$17),ISNUMBER('Assumptions'!$D$61),ISNUMBER('Assumptions'!$D$88)),'Fleet and Freight Cash'!$D$17*MIN('Fleet and Freight Cash'!$E$17*'Assumptions'!$D$61,'Assumptions'!$D$88),"n.a."),"n.a.")</x:f>
        <x:v>170000</x:v>
      </x:c>
      <x:c r="O10" s="48" t="n">
        <x:f>IF(AND('Fleet and Freight Cash'!N18="OK"),IF(AND(ISNUMBER('Fleet and Freight Cash'!$D$18),ISNUMBER('Fleet and Freight Cash'!$E$18),ISNUMBER('Assumptions'!$D$61),ISNUMBER('Assumptions'!$D$88)),'Fleet and Freight Cash'!$D$18*MIN('Fleet and Freight Cash'!$E$18*'Assumptions'!$D$61,'Assumptions'!$D$88),"n.a."),"n.a.")</x:f>
        <x:v>170000</x:v>
      </x:c>
      <x:c r="P10" s="48" t="n">
        <x:f>IF(AND('Fleet and Freight Cash'!N19="OK"),IF(AND(ISNUMBER('Fleet and Freight Cash'!$D$19),ISNUMBER('Fleet and Freight Cash'!$E$19),ISNUMBER('Assumptions'!$D$61),ISNUMBER('Assumptions'!$D$88)),'Fleet and Freight Cash'!$D$19*MIN('Fleet and Freight Cash'!$E$19*'Assumptions'!$D$61,'Assumptions'!$D$88),"n.a."),"n.a.")</x:f>
        <x:v>170000</x:v>
      </x:c>
      <x:c r="Q10" s="48" t="n">
        <x:f>IF(AND('Fleet and Freight Cash'!N20="OK"),IF(AND(ISNUMBER('Fleet and Freight Cash'!$D$20),ISNUMBER('Fleet and Freight Cash'!$E$20),ISNUMBER('Assumptions'!$D$61),ISNUMBER('Assumptions'!$D$88)),'Fleet and Freight Cash'!$D$20*MIN('Fleet and Freight Cash'!$E$20*'Assumptions'!$D$61,'Assumptions'!$D$88),"n.a."),"n.a.")</x:f>
        <x:v>170000</x:v>
      </x:c>
      <x:c r="R10" s="48" t="n">
        <x:f>IF(AND('Fleet and Freight Cash'!N21="OK"),IF(AND(ISNUMBER('Fleet and Freight Cash'!$D$21),ISNUMBER('Fleet and Freight Cash'!$E$21),ISNUMBER('Assumptions'!$D$61),ISNUMBER('Assumptions'!$D$88)),'Fleet and Freight Cash'!$D$21*MIN('Fleet and Freight Cash'!$E$21*'Assumptions'!$D$61,'Assumptions'!$D$88),"n.a."),"n.a.")</x:f>
        <x:v>170000</x:v>
      </x:c>
    </x:row>
    <x:row r="11" ht="21" customHeight="1">
      <x:c r="A11" s="2"/>
      <x:c r="B11" s="2"/>
      <x:c r="C11" s="2" t="str">
        <x:v>Revenue-producing loaded miles</x:v>
      </x:c>
      <x:c r="D11" s="2" t="str">
        <x:v>miles</x:v>
      </x:c>
      <x:c r="E11" s="49" t="n">
        <x:f>IF(COUNT(G11:R11)=12,SUM(G11:R11),"n.a.")</x:f>
        <x:v>1672800</x:v>
      </x:c>
      <x:c r="F11" s="2"/>
      <x:c r="G11" s="48" t="n">
        <x:f>IF(AND('Fleet and Freight Cash'!N10="OK"),IF(AND(ISNUMBER(G10),ISNUMBER('Fleet and Freight Cash'!$F$10)),G10*'Fleet and Freight Cash'!$F$10,"n.a."),"n.a.")</x:f>
        <x:v>139400</x:v>
      </x:c>
      <x:c r="H11" s="48" t="n">
        <x:f>IF(AND('Fleet and Freight Cash'!N11="OK"),IF(AND(ISNUMBER(H10),ISNUMBER('Fleet and Freight Cash'!$F$11)),H10*'Fleet and Freight Cash'!$F$11,"n.a."),"n.a.")</x:f>
        <x:v>139400</x:v>
      </x:c>
      <x:c r="I11" s="48" t="n">
        <x:f>IF(AND('Fleet and Freight Cash'!N12="OK"),IF(AND(ISNUMBER(I10),ISNUMBER('Fleet and Freight Cash'!$F$12)),I10*'Fleet and Freight Cash'!$F$12,"n.a."),"n.a.")</x:f>
        <x:v>139400</x:v>
      </x:c>
      <x:c r="J11" s="48" t="n">
        <x:f>IF(AND('Fleet and Freight Cash'!N13="OK"),IF(AND(ISNUMBER(J10),ISNUMBER('Fleet and Freight Cash'!$F$13)),J10*'Fleet and Freight Cash'!$F$13,"n.a."),"n.a.")</x:f>
        <x:v>139400</x:v>
      </x:c>
      <x:c r="K11" s="48" t="n">
        <x:f>IF(AND('Fleet and Freight Cash'!N14="OK"),IF(AND(ISNUMBER(K10),ISNUMBER('Fleet and Freight Cash'!$F$14)),K10*'Fleet and Freight Cash'!$F$14,"n.a."),"n.a.")</x:f>
        <x:v>139400</x:v>
      </x:c>
      <x:c r="L11" s="48" t="n">
        <x:f>IF(AND('Fleet and Freight Cash'!N15="OK"),IF(AND(ISNUMBER(L10),ISNUMBER('Fleet and Freight Cash'!$F$15)),L10*'Fleet and Freight Cash'!$F$15,"n.a."),"n.a.")</x:f>
        <x:v>139400</x:v>
      </x:c>
      <x:c r="M11" s="48" t="n">
        <x:f>IF(AND('Fleet and Freight Cash'!N16="OK"),IF(AND(ISNUMBER(M10),ISNUMBER('Fleet and Freight Cash'!$F$16)),M10*'Fleet and Freight Cash'!$F$16,"n.a."),"n.a.")</x:f>
        <x:v>139400</x:v>
      </x:c>
      <x:c r="N11" s="48" t="n">
        <x:f>IF(AND('Fleet and Freight Cash'!N17="OK"),IF(AND(ISNUMBER(N10),ISNUMBER('Fleet and Freight Cash'!$F$17)),N10*'Fleet and Freight Cash'!$F$17,"n.a."),"n.a.")</x:f>
        <x:v>139400</x:v>
      </x:c>
      <x:c r="O11" s="48" t="n">
        <x:f>IF(AND('Fleet and Freight Cash'!N18="OK"),IF(AND(ISNUMBER(O10),ISNUMBER('Fleet and Freight Cash'!$F$18)),O10*'Fleet and Freight Cash'!$F$18,"n.a."),"n.a.")</x:f>
        <x:v>139400</x:v>
      </x:c>
      <x:c r="P11" s="48" t="n">
        <x:f>IF(AND('Fleet and Freight Cash'!N19="OK"),IF(AND(ISNUMBER(P10),ISNUMBER('Fleet and Freight Cash'!$F$19)),P10*'Fleet and Freight Cash'!$F$19,"n.a."),"n.a.")</x:f>
        <x:v>139400</x:v>
      </x:c>
      <x:c r="Q11" s="48" t="n">
        <x:f>IF(AND('Fleet and Freight Cash'!N20="OK"),IF(AND(ISNUMBER(Q10),ISNUMBER('Fleet and Freight Cash'!$F$20)),Q10*'Fleet and Freight Cash'!$F$20,"n.a."),"n.a.")</x:f>
        <x:v>139400</x:v>
      </x:c>
      <x:c r="R11" s="48" t="n">
        <x:f>IF(AND('Fleet and Freight Cash'!N21="OK"),IF(AND(ISNUMBER(R10),ISNUMBER('Fleet and Freight Cash'!$F$21)),R10*'Fleet and Freight Cash'!$F$21,"n.a."),"n.a.")</x:f>
        <x:v>139400</x:v>
      </x:c>
    </x:row>
    <x:row r="12" ht="21" customHeight="1">
      <x:c r="A12" s="2"/>
      <x:c r="B12" s="2"/>
      <x:c r="C12" s="2" t="str">
        <x:v>Net freight billings</x:v>
      </x:c>
      <x:c r="D12" s="2" t="str">
        <x:v>USD</x:v>
      </x:c>
      <x:c r="E12" s="52" t="n">
        <x:f>IF(COUNT(G12:R12)=12,SUM(G12:R12),"n.a.")</x:f>
        <x:v>4851120</x:v>
      </x:c>
      <x:c r="F12" s="2"/>
      <x:c r="G12" s="51" t="n">
        <x:f>IF(AND('Fleet and Freight Cash'!N10="OK"),IF(AND(ISNUMBER(G11),ISNUMBER('Fleet and Freight Cash'!$G$10),ISNUMBER('Assumptions'!$D$64)),G11*'Fleet and Freight Cash'!$G$10*'Assumptions'!$D$64,"n.a."),"n.a.")</x:f>
        <x:v>404260</x:v>
      </x:c>
      <x:c r="H12" s="51" t="n">
        <x:f>IF(AND('Fleet and Freight Cash'!N11="OK"),IF(AND(ISNUMBER(H11),ISNUMBER('Fleet and Freight Cash'!$G$11),ISNUMBER('Assumptions'!$D$64)),H11*'Fleet and Freight Cash'!$G$11*'Assumptions'!$D$64,"n.a."),"n.a.")</x:f>
        <x:v>404260</x:v>
      </x:c>
      <x:c r="I12" s="51" t="n">
        <x:f>IF(AND('Fleet and Freight Cash'!N12="OK"),IF(AND(ISNUMBER(I11),ISNUMBER('Fleet and Freight Cash'!$G$12),ISNUMBER('Assumptions'!$D$64)),I11*'Fleet and Freight Cash'!$G$12*'Assumptions'!$D$64,"n.a."),"n.a.")</x:f>
        <x:v>404260</x:v>
      </x:c>
      <x:c r="J12" s="51" t="n">
        <x:f>IF(AND('Fleet and Freight Cash'!N13="OK"),IF(AND(ISNUMBER(J11),ISNUMBER('Fleet and Freight Cash'!$G$13),ISNUMBER('Assumptions'!$D$64)),J11*'Fleet and Freight Cash'!$G$13*'Assumptions'!$D$64,"n.a."),"n.a.")</x:f>
        <x:v>404260</x:v>
      </x:c>
      <x:c r="K12" s="51" t="n">
        <x:f>IF(AND('Fleet and Freight Cash'!N14="OK"),IF(AND(ISNUMBER(K11),ISNUMBER('Fleet and Freight Cash'!$G$14),ISNUMBER('Assumptions'!$D$64)),K11*'Fleet and Freight Cash'!$G$14*'Assumptions'!$D$64,"n.a."),"n.a.")</x:f>
        <x:v>404260</x:v>
      </x:c>
      <x:c r="L12" s="51" t="n">
        <x:f>IF(AND('Fleet and Freight Cash'!N15="OK"),IF(AND(ISNUMBER(L11),ISNUMBER('Fleet and Freight Cash'!$G$15),ISNUMBER('Assumptions'!$D$64)),L11*'Fleet and Freight Cash'!$G$15*'Assumptions'!$D$64,"n.a."),"n.a.")</x:f>
        <x:v>404260</x:v>
      </x:c>
      <x:c r="M12" s="51" t="n">
        <x:f>IF(AND('Fleet and Freight Cash'!N16="OK"),IF(AND(ISNUMBER(M11),ISNUMBER('Fleet and Freight Cash'!$G$16),ISNUMBER('Assumptions'!$D$64)),M11*'Fleet and Freight Cash'!$G$16*'Assumptions'!$D$64,"n.a."),"n.a.")</x:f>
        <x:v>404260</x:v>
      </x:c>
      <x:c r="N12" s="51" t="n">
        <x:f>IF(AND('Fleet and Freight Cash'!N17="OK"),IF(AND(ISNUMBER(N11),ISNUMBER('Fleet and Freight Cash'!$G$17),ISNUMBER('Assumptions'!$D$64)),N11*'Fleet and Freight Cash'!$G$17*'Assumptions'!$D$64,"n.a."),"n.a.")</x:f>
        <x:v>404260</x:v>
      </x:c>
      <x:c r="O12" s="51" t="n">
        <x:f>IF(AND('Fleet and Freight Cash'!N18="OK"),IF(AND(ISNUMBER(O11),ISNUMBER('Fleet and Freight Cash'!$G$18),ISNUMBER('Assumptions'!$D$64)),O11*'Fleet and Freight Cash'!$G$18*'Assumptions'!$D$64,"n.a."),"n.a.")</x:f>
        <x:v>404260</x:v>
      </x:c>
      <x:c r="P12" s="51" t="n">
        <x:f>IF(AND('Fleet and Freight Cash'!N19="OK"),IF(AND(ISNUMBER(P11),ISNUMBER('Fleet and Freight Cash'!$G$19),ISNUMBER('Assumptions'!$D$64)),P11*'Fleet and Freight Cash'!$G$19*'Assumptions'!$D$64,"n.a."),"n.a.")</x:f>
        <x:v>404260</x:v>
      </x:c>
      <x:c r="Q12" s="51" t="n">
        <x:f>IF(AND('Fleet and Freight Cash'!N20="OK"),IF(AND(ISNUMBER(Q11),ISNUMBER('Fleet and Freight Cash'!$G$20),ISNUMBER('Assumptions'!$D$64)),Q11*'Fleet and Freight Cash'!$G$20*'Assumptions'!$D$64,"n.a."),"n.a.")</x:f>
        <x:v>404260</x:v>
      </x:c>
      <x:c r="R12" s="51" t="n">
        <x:f>IF(AND('Fleet and Freight Cash'!N21="OK"),IF(AND(ISNUMBER(R11),ISNUMBER('Fleet and Freight Cash'!$G$21),ISNUMBER('Assumptions'!$D$64)),R11*'Fleet and Freight Cash'!$G$21*'Assumptions'!$D$64,"n.a."),"n.a.")</x:f>
        <x:v>404260</x:v>
      </x:c>
    </x:row>
    <x:row r="13" ht="21" customHeight="1">
      <x:c r="A13" s="2"/>
      <x:c r="B13" s="2"/>
      <x:c r="C13" s="2" t="str">
        <x:v>Ending freight receivable proxy</x:v>
      </x:c>
      <x:c r="D13" s="2" t="str">
        <x:v>USD end</x:v>
      </x:c>
      <x:c r="E13" s="52" t="n">
        <x:f>IF(ISNUMBER(R13),R13,"n.a.")</x:f>
        <x:v>456422.5806451613</x:v>
      </x:c>
      <x:c r="F13" s="2"/>
      <x:c r="G13" s="51" t="n">
        <x:f>IF(AND('Fleet and Freight Cash'!N10="OK"),IF(AND(ISNUMBER(G12),ISNUMBER('Fleet and Freight Cash'!$L$10),ISNUMBER(G$9)),G12*'Fleet and Freight Cash'!$L$10/DAY(EOMONTH(G$9,0)),"n.a."),"n.a.")</x:f>
        <x:v>456422.5806451613</x:v>
      </x:c>
      <x:c r="H13" s="51" t="n">
        <x:f>IF(AND('Fleet and Freight Cash'!N11="OK"),IF(AND(ISNUMBER(H12),ISNUMBER('Fleet and Freight Cash'!$L$11),ISNUMBER(H$9)),H12*'Fleet and Freight Cash'!$L$11/DAY(EOMONTH(H$9,0)),"n.a."),"n.a.")</x:f>
        <x:v>505325</x:v>
      </x:c>
      <x:c r="I13" s="51" t="n">
        <x:f>IF(AND('Fleet and Freight Cash'!N12="OK"),IF(AND(ISNUMBER(I12),ISNUMBER('Fleet and Freight Cash'!$L$12),ISNUMBER(I$9)),I12*'Fleet and Freight Cash'!$L$12/DAY(EOMONTH(I$9,0)),"n.a."),"n.a.")</x:f>
        <x:v>456422.5806451613</x:v>
      </x:c>
      <x:c r="J13" s="51" t="n">
        <x:f>IF(AND('Fleet and Freight Cash'!N13="OK"),IF(AND(ISNUMBER(J12),ISNUMBER('Fleet and Freight Cash'!$L$13),ISNUMBER(J$9)),J12*'Fleet and Freight Cash'!$L$13/DAY(EOMONTH(J$9,0)),"n.a."),"n.a.")</x:f>
        <x:v>471636.6666666667</x:v>
      </x:c>
      <x:c r="K13" s="51" t="n">
        <x:f>IF(AND('Fleet and Freight Cash'!N14="OK"),IF(AND(ISNUMBER(K12),ISNUMBER('Fleet and Freight Cash'!$L$14),ISNUMBER(K$9)),K12*'Fleet and Freight Cash'!$L$14/DAY(EOMONTH(K$9,0)),"n.a."),"n.a.")</x:f>
        <x:v>456422.5806451613</x:v>
      </x:c>
      <x:c r="L13" s="51" t="n">
        <x:f>IF(AND('Fleet and Freight Cash'!N15="OK"),IF(AND(ISNUMBER(L12),ISNUMBER('Fleet and Freight Cash'!$L$15),ISNUMBER(L$9)),L12*'Fleet and Freight Cash'!$L$15/DAY(EOMONTH(L$9,0)),"n.a."),"n.a.")</x:f>
        <x:v>471636.6666666667</x:v>
      </x:c>
      <x:c r="M13" s="51" t="n">
        <x:f>IF(AND('Fleet and Freight Cash'!N16="OK"),IF(AND(ISNUMBER(M12),ISNUMBER('Fleet and Freight Cash'!$L$16),ISNUMBER(M$9)),M12*'Fleet and Freight Cash'!$L$16/DAY(EOMONTH(M$9,0)),"n.a."),"n.a.")</x:f>
        <x:v>456422.5806451613</x:v>
      </x:c>
      <x:c r="N13" s="51" t="n">
        <x:f>IF(AND('Fleet and Freight Cash'!N17="OK"),IF(AND(ISNUMBER(N12),ISNUMBER('Fleet and Freight Cash'!$L$17),ISNUMBER(N$9)),N12*'Fleet and Freight Cash'!$L$17/DAY(EOMONTH(N$9,0)),"n.a."),"n.a.")</x:f>
        <x:v>456422.5806451613</x:v>
      </x:c>
      <x:c r="O13" s="51" t="n">
        <x:f>IF(AND('Fleet and Freight Cash'!N18="OK"),IF(AND(ISNUMBER(O12),ISNUMBER('Fleet and Freight Cash'!$L$18),ISNUMBER(O$9)),O12*'Fleet and Freight Cash'!$L$18/DAY(EOMONTH(O$9,0)),"n.a."),"n.a.")</x:f>
        <x:v>471636.6666666667</x:v>
      </x:c>
      <x:c r="P13" s="51" t="n">
        <x:f>IF(AND('Fleet and Freight Cash'!N19="OK"),IF(AND(ISNUMBER(P12),ISNUMBER('Fleet and Freight Cash'!$L$19),ISNUMBER(P$9)),P12*'Fleet and Freight Cash'!$L$19/DAY(EOMONTH(P$9,0)),"n.a."),"n.a.")</x:f>
        <x:v>456422.5806451613</x:v>
      </x:c>
      <x:c r="Q13" s="51" t="n">
        <x:f>IF(AND('Fleet and Freight Cash'!N20="OK"),IF(AND(ISNUMBER(Q12),ISNUMBER('Fleet and Freight Cash'!$L$20),ISNUMBER(Q$9)),Q12*'Fleet and Freight Cash'!$L$20/DAY(EOMONTH(Q$9,0)),"n.a."),"n.a.")</x:f>
        <x:v>471636.6666666667</x:v>
      </x:c>
      <x:c r="R13" s="51" t="n">
        <x:f>IF(AND('Fleet and Freight Cash'!N21="OK"),IF(AND(ISNUMBER(R12),ISNUMBER('Fleet and Freight Cash'!$L$21),ISNUMBER(R$9)),R12*'Fleet and Freight Cash'!$L$21/DAY(EOMONTH(R$9,0)),"n.a."),"n.a.")</x:f>
        <x:v>456422.5806451613</x:v>
      </x:c>
    </x:row>
    <x:row r="14" ht="21" customHeight="1">
      <x:c r="A14" s="2"/>
      <x:c r="B14" s="2"/>
      <x:c r="C14" s="2" t="str">
        <x:v>Freight collections after receivable change</x:v>
      </x:c>
      <x:c r="D14" s="2" t="str">
        <x:v>USD</x:v>
      </x:c>
      <x:c r="E14" s="52" t="n">
        <x:f>IF(COUNT(G14:R14)=12,SUM(G14:R14),"n.a.")</x:f>
        <x:v>4864697.419354838</x:v>
      </x:c>
      <x:c r="F14" s="2"/>
      <x:c r="G14" s="51" t="n">
        <x:f>IF(AND(ISNUMBER(G12),ISNUMBER(G13),ISNUMBER('Assumptions'!$D$91)),G12-G13+'Assumptions'!$D$91,"n.a.")</x:f>
        <x:v>417837.4193548387</x:v>
      </x:c>
      <x:c r="H14" s="51" t="n">
        <x:f>IF(AND(ISNUMBER(H12),ISNUMBER(H13),ISNUMBER(G13)),H12-H13+G13,"n.a.")</x:f>
        <x:v>355357.5806451613</x:v>
      </x:c>
      <x:c r="I14" s="51" t="n">
        <x:f>IF(AND(ISNUMBER(I12),ISNUMBER(I13),ISNUMBER(H13)),I12-I13+H13,"n.a.")</x:f>
        <x:v>453162.4193548387</x:v>
      </x:c>
      <x:c r="J14" s="51" t="n">
        <x:f>IF(AND(ISNUMBER(J12),ISNUMBER(J13),ISNUMBER(I13)),J12-J13+I13,"n.a.")</x:f>
        <x:v>389045.9139784946</x:v>
      </x:c>
      <x:c r="K14" s="51" t="n">
        <x:f>IF(AND(ISNUMBER(K12),ISNUMBER(K13),ISNUMBER(J13)),K12-K13+J13,"n.a.")</x:f>
        <x:v>419474.0860215054</x:v>
      </x:c>
      <x:c r="L14" s="51" t="n">
        <x:f>IF(AND(ISNUMBER(L12),ISNUMBER(L13),ISNUMBER(K13)),L12-L13+K13,"n.a.")</x:f>
        <x:v>389045.9139784946</x:v>
      </x:c>
      <x:c r="M14" s="51" t="n">
        <x:f>IF(AND(ISNUMBER(M12),ISNUMBER(M13),ISNUMBER(L13)),M12-M13+L13,"n.a.")</x:f>
        <x:v>419474.0860215054</x:v>
      </x:c>
      <x:c r="N14" s="51" t="n">
        <x:f>IF(AND(ISNUMBER(N12),ISNUMBER(N13),ISNUMBER(M13)),N12-N13+M13,"n.a.")</x:f>
        <x:v>404260</x:v>
      </x:c>
      <x:c r="O14" s="51" t="n">
        <x:f>IF(AND(ISNUMBER(O12),ISNUMBER(O13),ISNUMBER(N13)),O12-O13+N13,"n.a.")</x:f>
        <x:v>389045.9139784946</x:v>
      </x:c>
      <x:c r="P14" s="51" t="n">
        <x:f>IF(AND(ISNUMBER(P12),ISNUMBER(P13),ISNUMBER(O13)),P12-P13+O13,"n.a.")</x:f>
        <x:v>419474.0860215054</x:v>
      </x:c>
      <x:c r="Q14" s="51" t="n">
        <x:f>IF(AND(ISNUMBER(Q12),ISNUMBER(Q13),ISNUMBER(P13)),Q12-Q13+P13,"n.a.")</x:f>
        <x:v>389045.9139784946</x:v>
      </x:c>
      <x:c r="R14" s="51" t="n">
        <x:f>IF(AND(ISNUMBER(R12),ISNUMBER(R13),ISNUMBER(Q13)),R12-R13+Q13,"n.a.")</x:f>
        <x:v>419474.0860215054</x:v>
      </x:c>
    </x:row>
    <x:row r="15" ht="21" customHeight="1">
      <x:c r="A15" s="2"/>
      <x:c r="B15" s="2"/>
      <x:c r="C15" s="2" t="str">
        <x:v>Fuel cash on loaded and empty miles</x:v>
      </x:c>
      <x:c r="D15" s="2" t="str">
        <x:v>USD</x:v>
      </x:c>
      <x:c r="E15" s="52" t="n">
        <x:f>IF(COUNT(G15:R15)=12,SUM(G15:R15),"n.a.")</x:f>
        <x:v>1170000</x:v>
      </x:c>
      <x:c r="F15" s="2"/>
      <x:c r="G15" s="51" t="n">
        <x:f>IF(AND('Fleet and Freight Cash'!N10="OK"),IF(AND(ISNUMBER(G10),ISNUMBER('Fleet and Freight Cash'!$I$10),ISNUMBER('Fleet and Freight Cash'!$H$10),ISNUMBER('Assumptions'!$D$67)),G10/'Fleet and Freight Cash'!$I$10*'Fleet and Freight Cash'!$H$10*'Assumptions'!$D$67,"n.a."),"n.a.")</x:f>
        <x:v>97500</x:v>
      </x:c>
      <x:c r="H15" s="51" t="n">
        <x:f>IF(AND('Fleet and Freight Cash'!N11="OK"),IF(AND(ISNUMBER(H10),ISNUMBER('Fleet and Freight Cash'!$I$11),ISNUMBER('Fleet and Freight Cash'!$H$11),ISNUMBER('Assumptions'!$D$67)),H10/'Fleet and Freight Cash'!$I$11*'Fleet and Freight Cash'!$H$11*'Assumptions'!$D$67,"n.a."),"n.a.")</x:f>
        <x:v>97500</x:v>
      </x:c>
      <x:c r="I15" s="51" t="n">
        <x:f>IF(AND('Fleet and Freight Cash'!N12="OK"),IF(AND(ISNUMBER(I10),ISNUMBER('Fleet and Freight Cash'!$I$12),ISNUMBER('Fleet and Freight Cash'!$H$12),ISNUMBER('Assumptions'!$D$67)),I10/'Fleet and Freight Cash'!$I$12*'Fleet and Freight Cash'!$H$12*'Assumptions'!$D$67,"n.a."),"n.a.")</x:f>
        <x:v>97500</x:v>
      </x:c>
      <x:c r="J15" s="51" t="n">
        <x:f>IF(AND('Fleet and Freight Cash'!N13="OK"),IF(AND(ISNUMBER(J10),ISNUMBER('Fleet and Freight Cash'!$I$13),ISNUMBER('Fleet and Freight Cash'!$H$13),ISNUMBER('Assumptions'!$D$67)),J10/'Fleet and Freight Cash'!$I$13*'Fleet and Freight Cash'!$H$13*'Assumptions'!$D$67,"n.a."),"n.a.")</x:f>
        <x:v>97500</x:v>
      </x:c>
      <x:c r="K15" s="51" t="n">
        <x:f>IF(AND('Fleet and Freight Cash'!N14="OK"),IF(AND(ISNUMBER(K10),ISNUMBER('Fleet and Freight Cash'!$I$14),ISNUMBER('Fleet and Freight Cash'!$H$14),ISNUMBER('Assumptions'!$D$67)),K10/'Fleet and Freight Cash'!$I$14*'Fleet and Freight Cash'!$H$14*'Assumptions'!$D$67,"n.a."),"n.a.")</x:f>
        <x:v>97500</x:v>
      </x:c>
      <x:c r="L15" s="51" t="n">
        <x:f>IF(AND('Fleet and Freight Cash'!N15="OK"),IF(AND(ISNUMBER(L10),ISNUMBER('Fleet and Freight Cash'!$I$15),ISNUMBER('Fleet and Freight Cash'!$H$15),ISNUMBER('Assumptions'!$D$67)),L10/'Fleet and Freight Cash'!$I$15*'Fleet and Freight Cash'!$H$15*'Assumptions'!$D$67,"n.a."),"n.a.")</x:f>
        <x:v>97500</x:v>
      </x:c>
      <x:c r="M15" s="51" t="n">
        <x:f>IF(AND('Fleet and Freight Cash'!N16="OK"),IF(AND(ISNUMBER(M10),ISNUMBER('Fleet and Freight Cash'!$I$16),ISNUMBER('Fleet and Freight Cash'!$H$16),ISNUMBER('Assumptions'!$D$67)),M10/'Fleet and Freight Cash'!$I$16*'Fleet and Freight Cash'!$H$16*'Assumptions'!$D$67,"n.a."),"n.a.")</x:f>
        <x:v>97500</x:v>
      </x:c>
      <x:c r="N15" s="51" t="n">
        <x:f>IF(AND('Fleet and Freight Cash'!N17="OK"),IF(AND(ISNUMBER(N10),ISNUMBER('Fleet and Freight Cash'!$I$17),ISNUMBER('Fleet and Freight Cash'!$H$17),ISNUMBER('Assumptions'!$D$67)),N10/'Fleet and Freight Cash'!$I$17*'Fleet and Freight Cash'!$H$17*'Assumptions'!$D$67,"n.a."),"n.a.")</x:f>
        <x:v>97500</x:v>
      </x:c>
      <x:c r="O15" s="51" t="n">
        <x:f>IF(AND('Fleet and Freight Cash'!N18="OK"),IF(AND(ISNUMBER(O10),ISNUMBER('Fleet and Freight Cash'!$I$18),ISNUMBER('Fleet and Freight Cash'!$H$18),ISNUMBER('Assumptions'!$D$67)),O10/'Fleet and Freight Cash'!$I$18*'Fleet and Freight Cash'!$H$18*'Assumptions'!$D$67,"n.a."),"n.a.")</x:f>
        <x:v>97500</x:v>
      </x:c>
      <x:c r="P15" s="51" t="n">
        <x:f>IF(AND('Fleet and Freight Cash'!N19="OK"),IF(AND(ISNUMBER(P10),ISNUMBER('Fleet and Freight Cash'!$I$19),ISNUMBER('Fleet and Freight Cash'!$H$19),ISNUMBER('Assumptions'!$D$67)),P10/'Fleet and Freight Cash'!$I$19*'Fleet and Freight Cash'!$H$19*'Assumptions'!$D$67,"n.a."),"n.a.")</x:f>
        <x:v>97500</x:v>
      </x:c>
      <x:c r="Q15" s="51" t="n">
        <x:f>IF(AND('Fleet and Freight Cash'!N20="OK"),IF(AND(ISNUMBER(Q10),ISNUMBER('Fleet and Freight Cash'!$I$20),ISNUMBER('Fleet and Freight Cash'!$H$20),ISNUMBER('Assumptions'!$D$67)),Q10/'Fleet and Freight Cash'!$I$20*'Fleet and Freight Cash'!$H$20*'Assumptions'!$D$67,"n.a."),"n.a.")</x:f>
        <x:v>97500</x:v>
      </x:c>
      <x:c r="R15" s="51" t="n">
        <x:f>IF(AND('Fleet and Freight Cash'!N21="OK"),IF(AND(ISNUMBER(R10),ISNUMBER('Fleet and Freight Cash'!$I$21),ISNUMBER('Fleet and Freight Cash'!$H$21),ISNUMBER('Assumptions'!$D$67)),R10/'Fleet and Freight Cash'!$I$21*'Fleet and Freight Cash'!$H$21*'Assumptions'!$D$67,"n.a."),"n.a.")</x:f>
        <x:v>97500</x:v>
      </x:c>
    </x:row>
    <x:row r="16" ht="21" customHeight="1">
      <x:c r="A16" s="2"/>
      <x:c r="B16" s="2"/>
      <x:c r="C16" s="2" t="str">
        <x:v>Fuel, drivers and other fleet costs</x:v>
      </x:c>
      <x:c r="D16" s="2" t="str">
        <x:v>USD</x:v>
      </x:c>
      <x:c r="E16" s="52" t="n">
        <x:f>IF(COUNT(G16:R16)=12,SUM(G16:R16),"n.a.")</x:f>
        <x:v>3322800</x:v>
      </x:c>
      <x:c r="F16" s="2"/>
      <x:c r="G16" s="51" t="n">
        <x:f>IF(AND('Fleet and Freight Cash'!N10="OK"),IF(AND(ISNUMBER(G15),ISNUMBER(G10),ISNUMBER('Fleet and Freight Cash'!$J$10),ISNUMBER('Fleet and Freight Cash'!$K$10),ISNUMBER('Assumptions'!$D$67)),G15+(G10*'Fleet and Freight Cash'!$J$10+'Fleet and Freight Cash'!$K$10)*'Assumptions'!$D$67,"n.a."),"n.a.")</x:f>
        <x:v>276900</x:v>
      </x:c>
      <x:c r="H16" s="51" t="n">
        <x:f>IF(AND('Fleet and Freight Cash'!N11="OK"),IF(AND(ISNUMBER(H15),ISNUMBER(H10),ISNUMBER('Fleet and Freight Cash'!$J$11),ISNUMBER('Fleet and Freight Cash'!$K$11),ISNUMBER('Assumptions'!$D$67)),H15+(H10*'Fleet and Freight Cash'!$J$11+'Fleet and Freight Cash'!$K$11)*'Assumptions'!$D$67,"n.a."),"n.a.")</x:f>
        <x:v>276900</x:v>
      </x:c>
      <x:c r="I16" s="51" t="n">
        <x:f>IF(AND('Fleet and Freight Cash'!N12="OK"),IF(AND(ISNUMBER(I15),ISNUMBER(I10),ISNUMBER('Fleet and Freight Cash'!$J$12),ISNUMBER('Fleet and Freight Cash'!$K$12),ISNUMBER('Assumptions'!$D$67)),I15+(I10*'Fleet and Freight Cash'!$J$12+'Fleet and Freight Cash'!$K$12)*'Assumptions'!$D$67,"n.a."),"n.a.")</x:f>
        <x:v>276900</x:v>
      </x:c>
      <x:c r="J16" s="51" t="n">
        <x:f>IF(AND('Fleet and Freight Cash'!N13="OK"),IF(AND(ISNUMBER(J15),ISNUMBER(J10),ISNUMBER('Fleet and Freight Cash'!$J$13),ISNUMBER('Fleet and Freight Cash'!$K$13),ISNUMBER('Assumptions'!$D$67)),J15+(J10*'Fleet and Freight Cash'!$J$13+'Fleet and Freight Cash'!$K$13)*'Assumptions'!$D$67,"n.a."),"n.a.")</x:f>
        <x:v>276900</x:v>
      </x:c>
      <x:c r="K16" s="51" t="n">
        <x:f>IF(AND('Fleet and Freight Cash'!N14="OK"),IF(AND(ISNUMBER(K15),ISNUMBER(K10),ISNUMBER('Fleet and Freight Cash'!$J$14),ISNUMBER('Fleet and Freight Cash'!$K$14),ISNUMBER('Assumptions'!$D$67)),K15+(K10*'Fleet and Freight Cash'!$J$14+'Fleet and Freight Cash'!$K$14)*'Assumptions'!$D$67,"n.a."),"n.a.")</x:f>
        <x:v>276900</x:v>
      </x:c>
      <x:c r="L16" s="51" t="n">
        <x:f>IF(AND('Fleet and Freight Cash'!N15="OK"),IF(AND(ISNUMBER(L15),ISNUMBER(L10),ISNUMBER('Fleet and Freight Cash'!$J$15),ISNUMBER('Fleet and Freight Cash'!$K$15),ISNUMBER('Assumptions'!$D$67)),L15+(L10*'Fleet and Freight Cash'!$J$15+'Fleet and Freight Cash'!$K$15)*'Assumptions'!$D$67,"n.a."),"n.a.")</x:f>
        <x:v>276900</x:v>
      </x:c>
      <x:c r="M16" s="51" t="n">
        <x:f>IF(AND('Fleet and Freight Cash'!N16="OK"),IF(AND(ISNUMBER(M15),ISNUMBER(M10),ISNUMBER('Fleet and Freight Cash'!$J$16),ISNUMBER('Fleet and Freight Cash'!$K$16),ISNUMBER('Assumptions'!$D$67)),M15+(M10*'Fleet and Freight Cash'!$J$16+'Fleet and Freight Cash'!$K$16)*'Assumptions'!$D$67,"n.a."),"n.a.")</x:f>
        <x:v>276900</x:v>
      </x:c>
      <x:c r="N16" s="51" t="n">
        <x:f>IF(AND('Fleet and Freight Cash'!N17="OK"),IF(AND(ISNUMBER(N15),ISNUMBER(N10),ISNUMBER('Fleet and Freight Cash'!$J$17),ISNUMBER('Fleet and Freight Cash'!$K$17),ISNUMBER('Assumptions'!$D$67)),N15+(N10*'Fleet and Freight Cash'!$J$17+'Fleet and Freight Cash'!$K$17)*'Assumptions'!$D$67,"n.a."),"n.a.")</x:f>
        <x:v>276900</x:v>
      </x:c>
      <x:c r="O16" s="51" t="n">
        <x:f>IF(AND('Fleet and Freight Cash'!N18="OK"),IF(AND(ISNUMBER(O15),ISNUMBER(O10),ISNUMBER('Fleet and Freight Cash'!$J$18),ISNUMBER('Fleet and Freight Cash'!$K$18),ISNUMBER('Assumptions'!$D$67)),O15+(O10*'Fleet and Freight Cash'!$J$18+'Fleet and Freight Cash'!$K$18)*'Assumptions'!$D$67,"n.a."),"n.a.")</x:f>
        <x:v>276900</x:v>
      </x:c>
      <x:c r="P16" s="51" t="n">
        <x:f>IF(AND('Fleet and Freight Cash'!N19="OK"),IF(AND(ISNUMBER(P15),ISNUMBER(P10),ISNUMBER('Fleet and Freight Cash'!$J$19),ISNUMBER('Fleet and Freight Cash'!$K$19),ISNUMBER('Assumptions'!$D$67)),P15+(P10*'Fleet and Freight Cash'!$J$19+'Fleet and Freight Cash'!$K$19)*'Assumptions'!$D$67,"n.a."),"n.a.")</x:f>
        <x:v>276900</x:v>
      </x:c>
      <x:c r="Q16" s="51" t="n">
        <x:f>IF(AND('Fleet and Freight Cash'!N20="OK"),IF(AND(ISNUMBER(Q15),ISNUMBER(Q10),ISNUMBER('Fleet and Freight Cash'!$J$20),ISNUMBER('Fleet and Freight Cash'!$K$20),ISNUMBER('Assumptions'!$D$67)),Q15+(Q10*'Fleet and Freight Cash'!$J$20+'Fleet and Freight Cash'!$K$20)*'Assumptions'!$D$67,"n.a."),"n.a.")</x:f>
        <x:v>276900</x:v>
      </x:c>
      <x:c r="R16" s="51" t="n">
        <x:f>IF(AND('Fleet and Freight Cash'!N21="OK"),IF(AND(ISNUMBER(R15),ISNUMBER(R10),ISNUMBER('Fleet and Freight Cash'!$J$21),ISNUMBER('Fleet and Freight Cash'!$K$21),ISNUMBER('Assumptions'!$D$67)),R15+(R10*'Fleet and Freight Cash'!$J$21+'Fleet and Freight Cash'!$K$21)*'Assumptions'!$D$67,"n.a."),"n.a.")</x:f>
        <x:v>276900</x:v>
      </x:c>
    </x:row>
    <x:row r="17" ht="21" customHeight="1">
      <x:c r="A17" s="2"/>
      <x:c r="B17" s="2"/>
      <x:c r="C17" s="2" t="str">
        <x:v>Related rent eliminated in combined cash</x:v>
      </x:c>
      <x:c r="D17" s="2" t="str">
        <x:v>USD</x:v>
      </x:c>
      <x:c r="E17" s="52" t="n">
        <x:f>IF(COUNT(G17:R17)=12,SUM(G17:R17),"n.a.")</x:f>
        <x:v>144000</x:v>
      </x:c>
      <x:c r="F17" s="2"/>
      <x:c r="G17" s="51" t="n">
        <x:f>IF(AND(ISNUMBER('Assumptions'!$D$73)),'Assumptions'!$D$73,"n.a.")</x:f>
        <x:v>12000</x:v>
      </x:c>
      <x:c r="H17" s="51" t="n">
        <x:f>IF(AND(ISNUMBER('Assumptions'!$D$73)),'Assumptions'!$D$73,"n.a.")</x:f>
        <x:v>12000</x:v>
      </x:c>
      <x:c r="I17" s="51" t="n">
        <x:f>IF(AND(ISNUMBER('Assumptions'!$D$73)),'Assumptions'!$D$73,"n.a.")</x:f>
        <x:v>12000</x:v>
      </x:c>
      <x:c r="J17" s="51" t="n">
        <x:f>IF(AND(ISNUMBER('Assumptions'!$D$73)),'Assumptions'!$D$73,"n.a.")</x:f>
        <x:v>12000</x:v>
      </x:c>
      <x:c r="K17" s="51" t="n">
        <x:f>IF(AND(ISNUMBER('Assumptions'!$D$73)),'Assumptions'!$D$73,"n.a.")</x:f>
        <x:v>12000</x:v>
      </x:c>
      <x:c r="L17" s="51" t="n">
        <x:f>IF(AND(ISNUMBER('Assumptions'!$D$73)),'Assumptions'!$D$73,"n.a.")</x:f>
        <x:v>12000</x:v>
      </x:c>
      <x:c r="M17" s="51" t="n">
        <x:f>IF(AND(ISNUMBER('Assumptions'!$D$73)),'Assumptions'!$D$73,"n.a.")</x:f>
        <x:v>12000</x:v>
      </x:c>
      <x:c r="N17" s="51" t="n">
        <x:f>IF(AND(ISNUMBER('Assumptions'!$D$73)),'Assumptions'!$D$73,"n.a.")</x:f>
        <x:v>12000</x:v>
      </x:c>
      <x:c r="O17" s="51" t="n">
        <x:f>IF(AND(ISNUMBER('Assumptions'!$D$73)),'Assumptions'!$D$73,"n.a.")</x:f>
        <x:v>12000</x:v>
      </x:c>
      <x:c r="P17" s="51" t="n">
        <x:f>IF(AND(ISNUMBER('Assumptions'!$D$73)),'Assumptions'!$D$73,"n.a.")</x:f>
        <x:v>12000</x:v>
      </x:c>
      <x:c r="Q17" s="51" t="n">
        <x:f>IF(AND(ISNUMBER('Assumptions'!$D$73)),'Assumptions'!$D$73,"n.a.")</x:f>
        <x:v>12000</x:v>
      </x:c>
      <x:c r="R17" s="51" t="n">
        <x:f>IF(AND(ISNUMBER('Assumptions'!$D$73)),'Assumptions'!$D$73,"n.a.")</x:f>
        <x:v>12000</x:v>
      </x:c>
    </x:row>
    <x:row r="18" ht="21" customHeight="1">
      <x:c r="A18" s="2"/>
      <x:c r="B18" s="2"/>
      <x:c r="C18" s="2" t="str">
        <x:v>Business receipts less related rent</x:v>
      </x:c>
      <x:c r="D18" s="2" t="str">
        <x:v>USD</x:v>
      </x:c>
      <x:c r="E18" s="52" t="n">
        <x:f>IF(COUNT(G18:R18)=12,SUM(G18:R18),"n.a.")</x:f>
        <x:v>4720697.419354838</x:v>
      </x:c>
      <x:c r="F18" s="2"/>
      <x:c r="G18" s="52" t="n">
        <x:f>IF(AND(ISNUMBER(G14),ISNUMBER(G17)),G14-G17,"n.a.")</x:f>
        <x:v>405837.4193548387</x:v>
      </x:c>
      <x:c r="H18" s="52" t="n">
        <x:f>IF(AND(ISNUMBER(H14),ISNUMBER(H17)),H14-H17,"n.a.")</x:f>
        <x:v>343357.5806451613</x:v>
      </x:c>
      <x:c r="I18" s="52" t="n">
        <x:f>IF(AND(ISNUMBER(I14),ISNUMBER(I17)),I14-I17,"n.a.")</x:f>
        <x:v>441162.4193548387</x:v>
      </x:c>
      <x:c r="J18" s="52" t="n">
        <x:f>IF(AND(ISNUMBER(J14),ISNUMBER(J17)),J14-J17,"n.a.")</x:f>
        <x:v>377045.9139784946</x:v>
      </x:c>
      <x:c r="K18" s="52" t="n">
        <x:f>IF(AND(ISNUMBER(K14),ISNUMBER(K17)),K14-K17,"n.a.")</x:f>
        <x:v>407474.0860215054</x:v>
      </x:c>
      <x:c r="L18" s="52" t="n">
        <x:f>IF(AND(ISNUMBER(L14),ISNUMBER(L17)),L14-L17,"n.a.")</x:f>
        <x:v>377045.9139784946</x:v>
      </x:c>
      <x:c r="M18" s="52" t="n">
        <x:f>IF(AND(ISNUMBER(M14),ISNUMBER(M17)),M14-M17,"n.a.")</x:f>
        <x:v>407474.0860215054</x:v>
      </x:c>
      <x:c r="N18" s="52" t="n">
        <x:f>IF(AND(ISNUMBER(N14),ISNUMBER(N17)),N14-N17,"n.a.")</x:f>
        <x:v>392260</x:v>
      </x:c>
      <x:c r="O18" s="52" t="n">
        <x:f>IF(AND(ISNUMBER(O14),ISNUMBER(O17)),O14-O17,"n.a.")</x:f>
        <x:v>377045.9139784946</x:v>
      </x:c>
      <x:c r="P18" s="52" t="n">
        <x:f>IF(AND(ISNUMBER(P14),ISNUMBER(P17)),P14-P17,"n.a.")</x:f>
        <x:v>407474.0860215054</x:v>
      </x:c>
      <x:c r="Q18" s="52" t="n">
        <x:f>IF(AND(ISNUMBER(Q14),ISNUMBER(Q17)),Q14-Q17,"n.a.")</x:f>
        <x:v>377045.9139784946</x:v>
      </x:c>
      <x:c r="R18" s="52" t="n">
        <x:f>IF(AND(ISNUMBER(R14),ISNUMBER(R17)),R14-R17,"n.a.")</x:f>
        <x:v>407474.0860215054</x:v>
      </x:c>
    </x:row>
    <x:row r="19" ht="21" customHeight="1">
      <x:c r="A19" s="2"/>
      <x:c r="B19" s="2"/>
      <x:c r="C19" s="56" t="str">
        <x:v>Combined receipts before outside obligations</x:v>
      </x:c>
      <x:c r="D19" s="56" t="str">
        <x:v>USD</x:v>
      </x:c>
      <x:c r="E19" s="57" t="n">
        <x:f>IF(COUNT(G19:R19)=12,SUM(G19:R19),"n.a.")</x:f>
        <x:v>4864697.419354838</x:v>
      </x:c>
      <x:c r="F19" s="56"/>
      <x:c r="G19" s="57" t="n">
        <x:f>IF(AND(ISNUMBER(G18),ISNUMBER(G17)),G18+G17,"n.a.")</x:f>
        <x:v>417837.4193548387</x:v>
      </x:c>
      <x:c r="H19" s="57" t="n">
        <x:f>IF(AND(ISNUMBER(H18),ISNUMBER(H17)),H18+H17,"n.a.")</x:f>
        <x:v>355357.5806451613</x:v>
      </x:c>
      <x:c r="I19" s="57" t="n">
        <x:f>IF(AND(ISNUMBER(I18),ISNUMBER(I17)),I18+I17,"n.a.")</x:f>
        <x:v>453162.4193548387</x:v>
      </x:c>
      <x:c r="J19" s="57" t="n">
        <x:f>IF(AND(ISNUMBER(J18),ISNUMBER(J17)),J18+J17,"n.a.")</x:f>
        <x:v>389045.9139784946</x:v>
      </x:c>
      <x:c r="K19" s="57" t="n">
        <x:f>IF(AND(ISNUMBER(K18),ISNUMBER(K17)),K18+K17,"n.a.")</x:f>
        <x:v>419474.0860215054</x:v>
      </x:c>
      <x:c r="L19" s="57" t="n">
        <x:f>IF(AND(ISNUMBER(L18),ISNUMBER(L17)),L18+L17,"n.a.")</x:f>
        <x:v>389045.9139784946</x:v>
      </x:c>
      <x:c r="M19" s="57" t="n">
        <x:f>IF(AND(ISNUMBER(M18),ISNUMBER(M17)),M18+M17,"n.a.")</x:f>
        <x:v>419474.0860215054</x:v>
      </x:c>
      <x:c r="N19" s="57" t="n">
        <x:f>IF(AND(ISNUMBER(N18),ISNUMBER(N17)),N18+N17,"n.a.")</x:f>
        <x:v>404260</x:v>
      </x:c>
      <x:c r="O19" s="57" t="n">
        <x:f>IF(AND(ISNUMBER(O18),ISNUMBER(O17)),O18+O17,"n.a.")</x:f>
        <x:v>389045.9139784946</x:v>
      </x:c>
      <x:c r="P19" s="57" t="n">
        <x:f>IF(AND(ISNUMBER(P18),ISNUMBER(P17)),P18+P17,"n.a.")</x:f>
        <x:v>419474.0860215054</x:v>
      </x:c>
      <x:c r="Q19" s="57" t="n">
        <x:f>IF(AND(ISNUMBER(Q18),ISNUMBER(Q17)),Q18+Q17,"n.a.")</x:f>
        <x:v>389045.9139784946</x:v>
      </x:c>
      <x:c r="R19" s="57" t="n">
        <x:f>IF(AND(ISNUMBER(R18),ISNUMBER(R17)),R18+R17,"n.a.")</x:f>
        <x:v>419474.0860215054</x:v>
      </x:c>
    </x:row>
    <x:row r="20" ht="21" customHeight="1">
      <x:c r="A20" s="2"/>
      <x:c r="B20" s="2"/>
      <x:c r="C20" s="2" t="str">
        <x:v>External property cash costs</x:v>
      </x:c>
      <x:c r="D20" s="2" t="str">
        <x:v>USD</x:v>
      </x:c>
      <x:c r="E20" s="52" t="n">
        <x:f>IF(COUNT(G20:R20)=12,SUM(G20:R20),"n.a.")</x:f>
        <x:v>72000</x:v>
      </x:c>
      <x:c r="F20" s="2"/>
      <x:c r="G20" s="51" t="n">
        <x:f>IF(AND(ISNUMBER('Assumptions'!$D$76),ISNUMBER('Assumptions'!$D$67)),'Assumptions'!$D$76*'Assumptions'!$D$67,"n.a.")</x:f>
        <x:v>6000</x:v>
      </x:c>
      <x:c r="H20" s="51" t="n">
        <x:f>IF(AND(ISNUMBER('Assumptions'!$D$76),ISNUMBER('Assumptions'!$D$67)),'Assumptions'!$D$76*'Assumptions'!$D$67,"n.a.")</x:f>
        <x:v>6000</x:v>
      </x:c>
      <x:c r="I20" s="51" t="n">
        <x:f>IF(AND(ISNUMBER('Assumptions'!$D$76),ISNUMBER('Assumptions'!$D$67)),'Assumptions'!$D$76*'Assumptions'!$D$67,"n.a.")</x:f>
        <x:v>6000</x:v>
      </x:c>
      <x:c r="J20" s="51" t="n">
        <x:f>IF(AND(ISNUMBER('Assumptions'!$D$76),ISNUMBER('Assumptions'!$D$67)),'Assumptions'!$D$76*'Assumptions'!$D$67,"n.a.")</x:f>
        <x:v>6000</x:v>
      </x:c>
      <x:c r="K20" s="51" t="n">
        <x:f>IF(AND(ISNUMBER('Assumptions'!$D$76),ISNUMBER('Assumptions'!$D$67)),'Assumptions'!$D$76*'Assumptions'!$D$67,"n.a.")</x:f>
        <x:v>6000</x:v>
      </x:c>
      <x:c r="L20" s="51" t="n">
        <x:f>IF(AND(ISNUMBER('Assumptions'!$D$76),ISNUMBER('Assumptions'!$D$67)),'Assumptions'!$D$76*'Assumptions'!$D$67,"n.a.")</x:f>
        <x:v>6000</x:v>
      </x:c>
      <x:c r="M20" s="51" t="n">
        <x:f>IF(AND(ISNUMBER('Assumptions'!$D$76),ISNUMBER('Assumptions'!$D$67)),'Assumptions'!$D$76*'Assumptions'!$D$67,"n.a.")</x:f>
        <x:v>6000</x:v>
      </x:c>
      <x:c r="N20" s="51" t="n">
        <x:f>IF(AND(ISNUMBER('Assumptions'!$D$76),ISNUMBER('Assumptions'!$D$67)),'Assumptions'!$D$76*'Assumptions'!$D$67,"n.a.")</x:f>
        <x:v>6000</x:v>
      </x:c>
      <x:c r="O20" s="51" t="n">
        <x:f>IF(AND(ISNUMBER('Assumptions'!$D$76),ISNUMBER('Assumptions'!$D$67)),'Assumptions'!$D$76*'Assumptions'!$D$67,"n.a.")</x:f>
        <x:v>6000</x:v>
      </x:c>
      <x:c r="P20" s="51" t="n">
        <x:f>IF(AND(ISNUMBER('Assumptions'!$D$76),ISNUMBER('Assumptions'!$D$67)),'Assumptions'!$D$76*'Assumptions'!$D$67,"n.a.")</x:f>
        <x:v>6000</x:v>
      </x:c>
      <x:c r="Q20" s="51" t="n">
        <x:f>IF(AND(ISNUMBER('Assumptions'!$D$76),ISNUMBER('Assumptions'!$D$67)),'Assumptions'!$D$76*'Assumptions'!$D$67,"n.a.")</x:f>
        <x:v>6000</x:v>
      </x:c>
      <x:c r="R20" s="51" t="n">
        <x:f>IF(AND(ISNUMBER('Assumptions'!$D$76),ISNUMBER('Assumptions'!$D$67)),'Assumptions'!$D$76*'Assumptions'!$D$67,"n.a.")</x:f>
        <x:v>6000</x:v>
      </x:c>
    </x:row>
    <x:row r="21" ht="21" customHeight="1">
      <x:c r="A21" s="2"/>
      <x:c r="B21" s="2"/>
      <x:c r="C21" s="2" t="str">
        <x:v>Other business debt service</x:v>
      </x:c>
      <x:c r="D21" s="2" t="str">
        <x:v>USD</x:v>
      </x:c>
      <x:c r="E21" s="52" t="n">
        <x:f>IF(COUNT(G21:R21)=12,SUM(G21:R21),"n.a.")</x:f>
        <x:v>72000</x:v>
      </x:c>
      <x:c r="F21" s="2"/>
      <x:c r="G21" s="51" t="n">
        <x:f>IF(AND(ISNUMBER('Assumptions'!$D$79)),'Assumptions'!$D$79,"n.a.")</x:f>
        <x:v>6000</x:v>
      </x:c>
      <x:c r="H21" s="51" t="n">
        <x:f>IF(AND(ISNUMBER('Assumptions'!$D$79)),'Assumptions'!$D$79,"n.a.")</x:f>
        <x:v>6000</x:v>
      </x:c>
      <x:c r="I21" s="51" t="n">
        <x:f>IF(AND(ISNUMBER('Assumptions'!$D$79)),'Assumptions'!$D$79,"n.a.")</x:f>
        <x:v>6000</x:v>
      </x:c>
      <x:c r="J21" s="51" t="n">
        <x:f>IF(AND(ISNUMBER('Assumptions'!$D$79)),'Assumptions'!$D$79,"n.a.")</x:f>
        <x:v>6000</x:v>
      </x:c>
      <x:c r="K21" s="51" t="n">
        <x:f>IF(AND(ISNUMBER('Assumptions'!$D$79)),'Assumptions'!$D$79,"n.a.")</x:f>
        <x:v>6000</x:v>
      </x:c>
      <x:c r="L21" s="51" t="n">
        <x:f>IF(AND(ISNUMBER('Assumptions'!$D$79)),'Assumptions'!$D$79,"n.a.")</x:f>
        <x:v>6000</x:v>
      </x:c>
      <x:c r="M21" s="51" t="n">
        <x:f>IF(AND(ISNUMBER('Assumptions'!$D$79)),'Assumptions'!$D$79,"n.a.")</x:f>
        <x:v>6000</x:v>
      </x:c>
      <x:c r="N21" s="51" t="n">
        <x:f>IF(AND(ISNUMBER('Assumptions'!$D$79)),'Assumptions'!$D$79,"n.a.")</x:f>
        <x:v>6000</x:v>
      </x:c>
      <x:c r="O21" s="51" t="n">
        <x:f>IF(AND(ISNUMBER('Assumptions'!$D$79)),'Assumptions'!$D$79,"n.a.")</x:f>
        <x:v>6000</x:v>
      </x:c>
      <x:c r="P21" s="51" t="n">
        <x:f>IF(AND(ISNUMBER('Assumptions'!$D$79)),'Assumptions'!$D$79,"n.a.")</x:f>
        <x:v>6000</x:v>
      </x:c>
      <x:c r="Q21" s="51" t="n">
        <x:f>IF(AND(ISNUMBER('Assumptions'!$D$79)),'Assumptions'!$D$79,"n.a.")</x:f>
        <x:v>6000</x:v>
      </x:c>
      <x:c r="R21" s="51" t="n">
        <x:f>IF(AND(ISNUMBER('Assumptions'!$D$79)),'Assumptions'!$D$79,"n.a.")</x:f>
        <x:v>6000</x:v>
      </x:c>
    </x:row>
    <x:row r="22" ht="21" customHeight="1">
      <x:c r="A22" s="2"/>
      <x:c r="B22" s="2"/>
      <x:c r="C22" s="2" t="str">
        <x:v>Cash taxes and distributions</x:v>
      </x:c>
      <x:c r="D22" s="2" t="str">
        <x:v>USD</x:v>
      </x:c>
      <x:c r="E22" s="52" t="n">
        <x:f>IF(COUNT(G22:R22)=12,SUM(G22:R22),"n.a.")</x:f>
        <x:v>36000</x:v>
      </x:c>
      <x:c r="F22" s="2"/>
      <x:c r="G22" s="51" t="n">
        <x:f>IF(AND(ISNUMBER('Assumptions'!$D$82)),'Assumptions'!$D$82,"n.a.")</x:f>
        <x:v>3000</x:v>
      </x:c>
      <x:c r="H22" s="51" t="n">
        <x:f>IF(AND(ISNUMBER('Assumptions'!$D$82)),'Assumptions'!$D$82,"n.a.")</x:f>
        <x:v>3000</x:v>
      </x:c>
      <x:c r="I22" s="51" t="n">
        <x:f>IF(AND(ISNUMBER('Assumptions'!$D$82)),'Assumptions'!$D$82,"n.a.")</x:f>
        <x:v>3000</x:v>
      </x:c>
      <x:c r="J22" s="51" t="n">
        <x:f>IF(AND(ISNUMBER('Assumptions'!$D$82)),'Assumptions'!$D$82,"n.a.")</x:f>
        <x:v>3000</x:v>
      </x:c>
      <x:c r="K22" s="51" t="n">
        <x:f>IF(AND(ISNUMBER('Assumptions'!$D$82)),'Assumptions'!$D$82,"n.a.")</x:f>
        <x:v>3000</x:v>
      </x:c>
      <x:c r="L22" s="51" t="n">
        <x:f>IF(AND(ISNUMBER('Assumptions'!$D$82)),'Assumptions'!$D$82,"n.a.")</x:f>
        <x:v>3000</x:v>
      </x:c>
      <x:c r="M22" s="51" t="n">
        <x:f>IF(AND(ISNUMBER('Assumptions'!$D$82)),'Assumptions'!$D$82,"n.a.")</x:f>
        <x:v>3000</x:v>
      </x:c>
      <x:c r="N22" s="51" t="n">
        <x:f>IF(AND(ISNUMBER('Assumptions'!$D$82)),'Assumptions'!$D$82,"n.a.")</x:f>
        <x:v>3000</x:v>
      </x:c>
      <x:c r="O22" s="51" t="n">
        <x:f>IF(AND(ISNUMBER('Assumptions'!$D$82)),'Assumptions'!$D$82,"n.a.")</x:f>
        <x:v>3000</x:v>
      </x:c>
      <x:c r="P22" s="51" t="n">
        <x:f>IF(AND(ISNUMBER('Assumptions'!$D$82)),'Assumptions'!$D$82,"n.a.")</x:f>
        <x:v>3000</x:v>
      </x:c>
      <x:c r="Q22" s="51" t="n">
        <x:f>IF(AND(ISNUMBER('Assumptions'!$D$82)),'Assumptions'!$D$82,"n.a.")</x:f>
        <x:v>3000</x:v>
      </x:c>
      <x:c r="R22" s="51" t="n">
        <x:f>IF(AND(ISNUMBER('Assumptions'!$D$82)),'Assumptions'!$D$82,"n.a.")</x:f>
        <x:v>3000</x:v>
      </x:c>
    </x:row>
    <x:row r="23" ht="21" customHeight="1">
      <x:c r="A23" s="2"/>
      <x:c r="B23" s="2"/>
      <x:c r="C23" s="2" t="str">
        <x:v>Maintenance capital deducted once</x:v>
      </x:c>
      <x:c r="D23" s="2" t="str">
        <x:v>USD</x:v>
      </x:c>
      <x:c r="E23" s="52" t="n">
        <x:f>IF(COUNT(G23:R23)=12,SUM(G23:R23),"n.a.")</x:f>
        <x:v>18000</x:v>
      </x:c>
      <x:c r="F23" s="2"/>
      <x:c r="G23" s="51" t="n">
        <x:f>IF(AND(ISNUMBER('Assumptions'!$D$85),ISNUMBER('Assumptions'!$D$70)),'Assumptions'!$D$85*'Assumptions'!$D$70,"n.a.")</x:f>
        <x:v>1500</x:v>
      </x:c>
      <x:c r="H23" s="51" t="n">
        <x:f>IF(AND(ISNUMBER('Assumptions'!$D$85),ISNUMBER('Assumptions'!$D$70)),'Assumptions'!$D$85*'Assumptions'!$D$70,"n.a.")</x:f>
        <x:v>1500</x:v>
      </x:c>
      <x:c r="I23" s="51" t="n">
        <x:f>IF(AND(ISNUMBER('Assumptions'!$D$85),ISNUMBER('Assumptions'!$D$70)),'Assumptions'!$D$85*'Assumptions'!$D$70,"n.a.")</x:f>
        <x:v>1500</x:v>
      </x:c>
      <x:c r="J23" s="51" t="n">
        <x:f>IF(AND(ISNUMBER('Assumptions'!$D$85),ISNUMBER('Assumptions'!$D$70)),'Assumptions'!$D$85*'Assumptions'!$D$70,"n.a.")</x:f>
        <x:v>1500</x:v>
      </x:c>
      <x:c r="K23" s="51" t="n">
        <x:f>IF(AND(ISNUMBER('Assumptions'!$D$85),ISNUMBER('Assumptions'!$D$70)),'Assumptions'!$D$85*'Assumptions'!$D$70,"n.a.")</x:f>
        <x:v>1500</x:v>
      </x:c>
      <x:c r="L23" s="51" t="n">
        <x:f>IF(AND(ISNUMBER('Assumptions'!$D$85),ISNUMBER('Assumptions'!$D$70)),'Assumptions'!$D$85*'Assumptions'!$D$70,"n.a.")</x:f>
        <x:v>1500</x:v>
      </x:c>
      <x:c r="M23" s="51" t="n">
        <x:f>IF(AND(ISNUMBER('Assumptions'!$D$85),ISNUMBER('Assumptions'!$D$70)),'Assumptions'!$D$85*'Assumptions'!$D$70,"n.a.")</x:f>
        <x:v>1500</x:v>
      </x:c>
      <x:c r="N23" s="51" t="n">
        <x:f>IF(AND(ISNUMBER('Assumptions'!$D$85),ISNUMBER('Assumptions'!$D$70)),'Assumptions'!$D$85*'Assumptions'!$D$70,"n.a.")</x:f>
        <x:v>1500</x:v>
      </x:c>
      <x:c r="O23" s="51" t="n">
        <x:f>IF(AND(ISNUMBER('Assumptions'!$D$85),ISNUMBER('Assumptions'!$D$70)),'Assumptions'!$D$85*'Assumptions'!$D$70,"n.a.")</x:f>
        <x:v>1500</x:v>
      </x:c>
      <x:c r="P23" s="51" t="n">
        <x:f>IF(AND(ISNUMBER('Assumptions'!$D$85),ISNUMBER('Assumptions'!$D$70)),'Assumptions'!$D$85*'Assumptions'!$D$70,"n.a.")</x:f>
        <x:v>1500</x:v>
      </x:c>
      <x:c r="Q23" s="51" t="n">
        <x:f>IF(AND(ISNUMBER('Assumptions'!$D$85),ISNUMBER('Assumptions'!$D$70)),'Assumptions'!$D$85*'Assumptions'!$D$70,"n.a.")</x:f>
        <x:v>1500</x:v>
      </x:c>
      <x:c r="R23" s="51" t="n">
        <x:f>IF(AND(ISNUMBER('Assumptions'!$D$85),ISNUMBER('Assumptions'!$D$70)),'Assumptions'!$D$85*'Assumptions'!$D$70,"n.a.")</x:f>
        <x:v>1500</x:v>
      </x:c>
    </x:row>
    <x:row r="24" ht="21" customHeight="1">
      <x:c r="A24" s="2"/>
      <x:c r="B24" s="2"/>
      <x:c r="C24" s="2" t="str">
        <x:v>Operating and outside cash obligations</x:v>
      </x:c>
      <x:c r="D24" s="2" t="str">
        <x:v>USD</x:v>
      </x:c>
      <x:c r="E24" s="52" t="n">
        <x:f>IF(COUNT(G24:R24)=12,SUM(G24:R24),"n.a.")</x:f>
        <x:v>3520800</x:v>
      </x:c>
      <x:c r="F24" s="2"/>
      <x:c r="G24" s="52" t="n">
        <x:f>IF(AND(ISNUMBER(G16),ISNUMBER(G20),ISNUMBER(G21),ISNUMBER(G22),ISNUMBER(G23)),G16+G20+G21+G22+G23,"n.a.")</x:f>
        <x:v>293400</x:v>
      </x:c>
      <x:c r="H24" s="52" t="n">
        <x:f>IF(AND(ISNUMBER(H16),ISNUMBER(H20),ISNUMBER(H21),ISNUMBER(H22),ISNUMBER(H23)),H16+H20+H21+H22+H23,"n.a.")</x:f>
        <x:v>293400</x:v>
      </x:c>
      <x:c r="I24" s="52" t="n">
        <x:f>IF(AND(ISNUMBER(I16),ISNUMBER(I20),ISNUMBER(I21),ISNUMBER(I22),ISNUMBER(I23)),I16+I20+I21+I22+I23,"n.a.")</x:f>
        <x:v>293400</x:v>
      </x:c>
      <x:c r="J24" s="52" t="n">
        <x:f>IF(AND(ISNUMBER(J16),ISNUMBER(J20),ISNUMBER(J21),ISNUMBER(J22),ISNUMBER(J23)),J16+J20+J21+J22+J23,"n.a.")</x:f>
        <x:v>293400</x:v>
      </x:c>
      <x:c r="K24" s="52" t="n">
        <x:f>IF(AND(ISNUMBER(K16),ISNUMBER(K20),ISNUMBER(K21),ISNUMBER(K22),ISNUMBER(K23)),K16+K20+K21+K22+K23,"n.a.")</x:f>
        <x:v>293400</x:v>
      </x:c>
      <x:c r="L24" s="52" t="n">
        <x:f>IF(AND(ISNUMBER(L16),ISNUMBER(L20),ISNUMBER(L21),ISNUMBER(L22),ISNUMBER(L23)),L16+L20+L21+L22+L23,"n.a.")</x:f>
        <x:v>293400</x:v>
      </x:c>
      <x:c r="M24" s="52" t="n">
        <x:f>IF(AND(ISNUMBER(M16),ISNUMBER(M20),ISNUMBER(M21),ISNUMBER(M22),ISNUMBER(M23)),M16+M20+M21+M22+M23,"n.a.")</x:f>
        <x:v>293400</x:v>
      </x:c>
      <x:c r="N24" s="52" t="n">
        <x:f>IF(AND(ISNUMBER(N16),ISNUMBER(N20),ISNUMBER(N21),ISNUMBER(N22),ISNUMBER(N23)),N16+N20+N21+N22+N23,"n.a.")</x:f>
        <x:v>293400</x:v>
      </x:c>
      <x:c r="O24" s="52" t="n">
        <x:f>IF(AND(ISNUMBER(O16),ISNUMBER(O20),ISNUMBER(O21),ISNUMBER(O22),ISNUMBER(O23)),O16+O20+O21+O22+O23,"n.a.")</x:f>
        <x:v>293400</x:v>
      </x:c>
      <x:c r="P24" s="52" t="n">
        <x:f>IF(AND(ISNUMBER(P16),ISNUMBER(P20),ISNUMBER(P21),ISNUMBER(P22),ISNUMBER(P23)),P16+P20+P21+P22+P23,"n.a.")</x:f>
        <x:v>293400</x:v>
      </x:c>
      <x:c r="Q24" s="52" t="n">
        <x:f>IF(AND(ISNUMBER(Q16),ISNUMBER(Q20),ISNUMBER(Q21),ISNUMBER(Q22),ISNUMBER(Q23)),Q16+Q20+Q21+Q22+Q23,"n.a.")</x:f>
        <x:v>293400</x:v>
      </x:c>
      <x:c r="R24" s="52" t="n">
        <x:f>IF(AND(ISNUMBER(R16),ISNUMBER(R20),ISNUMBER(R21),ISNUMBER(R22),ISNUMBER(R23)),R16+R20+R21+R22+R23,"n.a.")</x:f>
        <x:v>293400</x:v>
      </x:c>
    </x:row>
    <x:row r="25" ht="21" customHeight="1">
      <x:c r="A25" s="2"/>
      <x:c r="B25" s="2"/>
      <x:c r="C25" s="2" t="str">
        <x:v>Additional expansion / property capital</x:v>
      </x:c>
      <x:c r="D25" s="2" t="str">
        <x:v>USD</x:v>
      </x:c>
      <x:c r="E25" s="52" t="n">
        <x:f>IF(COUNT(G25:R25)=12,SUM(G25:R25),"n.a.")</x:f>
        <x:v>160000</x:v>
      </x:c>
      <x:c r="F25" s="2"/>
      <x:c r="G25" s="51" t="n">
        <x:f>IF(AND('Fleet and Freight Cash'!N10="OK"),IF(AND(ISNUMBER('Fleet and Freight Cash'!$M$10),ISNUMBER('Assumptions'!$D$70)),'Fleet and Freight Cash'!$M$10*'Assumptions'!$D$70,"n.a."),"n.a.")</x:f>
        <x:v>0</x:v>
      </x:c>
      <x:c r="H25" s="51" t="n">
        <x:f>IF(AND('Fleet and Freight Cash'!N11="OK"),IF(AND(ISNUMBER('Fleet and Freight Cash'!$M$11),ISNUMBER('Assumptions'!$D$70)),'Fleet and Freight Cash'!$M$11*'Assumptions'!$D$70,"n.a."),"n.a.")</x:f>
        <x:v>0</x:v>
      </x:c>
      <x:c r="I25" s="51" t="n">
        <x:f>IF(AND('Fleet and Freight Cash'!N12="OK"),IF(AND(ISNUMBER('Fleet and Freight Cash'!$M$12),ISNUMBER('Assumptions'!$D$70)),'Fleet and Freight Cash'!$M$12*'Assumptions'!$D$70,"n.a."),"n.a.")</x:f>
        <x:v>0</x:v>
      </x:c>
      <x:c r="J25" s="51" t="n">
        <x:f>IF(AND('Fleet and Freight Cash'!N13="OK"),IF(AND(ISNUMBER('Fleet and Freight Cash'!$M$13),ISNUMBER('Assumptions'!$D$70)),'Fleet and Freight Cash'!$M$13*'Assumptions'!$D$70,"n.a."),"n.a.")</x:f>
        <x:v>0</x:v>
      </x:c>
      <x:c r="K25" s="51" t="n">
        <x:f>IF(AND('Fleet and Freight Cash'!N14="OK"),IF(AND(ISNUMBER('Fleet and Freight Cash'!$M$14),ISNUMBER('Assumptions'!$D$70)),'Fleet and Freight Cash'!$M$14*'Assumptions'!$D$70,"n.a."),"n.a.")</x:f>
        <x:v>0</x:v>
      </x:c>
      <x:c r="L25" s="51" t="n">
        <x:f>IF(AND('Fleet and Freight Cash'!N15="OK"),IF(AND(ISNUMBER('Fleet and Freight Cash'!$M$15),ISNUMBER('Assumptions'!$D$70)),'Fleet and Freight Cash'!$M$15*'Assumptions'!$D$70,"n.a."),"n.a.")</x:f>
        <x:v>0</x:v>
      </x:c>
      <x:c r="M25" s="51" t="n">
        <x:f>IF(AND('Fleet and Freight Cash'!N16="OK"),IF(AND(ISNUMBER('Fleet and Freight Cash'!$M$16),ISNUMBER('Assumptions'!$D$70)),'Fleet and Freight Cash'!$M$16*'Assumptions'!$D$70,"n.a."),"n.a.")</x:f>
        <x:v>0</x:v>
      </x:c>
      <x:c r="N25" s="51" t="n">
        <x:f>IF(AND('Fleet and Freight Cash'!N17="OK"),IF(AND(ISNUMBER('Fleet and Freight Cash'!$M$17),ISNUMBER('Assumptions'!$D$70)),'Fleet and Freight Cash'!$M$17*'Assumptions'!$D$70,"n.a."),"n.a.")</x:f>
        <x:v>160000</x:v>
      </x:c>
      <x:c r="O25" s="51" t="n">
        <x:f>IF(AND('Fleet and Freight Cash'!N18="OK"),IF(AND(ISNUMBER('Fleet and Freight Cash'!$M$18),ISNUMBER('Assumptions'!$D$70)),'Fleet and Freight Cash'!$M$18*'Assumptions'!$D$70,"n.a."),"n.a.")</x:f>
        <x:v>0</x:v>
      </x:c>
      <x:c r="P25" s="51" t="n">
        <x:f>IF(AND('Fleet and Freight Cash'!N19="OK"),IF(AND(ISNUMBER('Fleet and Freight Cash'!$M$19),ISNUMBER('Assumptions'!$D$70)),'Fleet and Freight Cash'!$M$19*'Assumptions'!$D$70,"n.a."),"n.a.")</x:f>
        <x:v>0</x:v>
      </x:c>
      <x:c r="Q25" s="51" t="n">
        <x:f>IF(AND('Fleet and Freight Cash'!N20="OK"),IF(AND(ISNUMBER('Fleet and Freight Cash'!$M$20),ISNUMBER('Assumptions'!$D$70)),'Fleet and Freight Cash'!$M$20*'Assumptions'!$D$70,"n.a."),"n.a.")</x:f>
        <x:v>0</x:v>
      </x:c>
      <x:c r="R25" s="51" t="n">
        <x:f>IF(AND('Fleet and Freight Cash'!N21="OK"),IF(AND(ISNUMBER('Fleet and Freight Cash'!$M$21),ISNUMBER('Assumptions'!$D$70)),'Fleet and Freight Cash'!$M$21*'Assumptions'!$D$70,"n.a."),"n.a.")</x:f>
        <x:v>0</x:v>
      </x:c>
    </x:row>
    <x:row r="26" ht="21" customHeight="1">
      <x:c r="A26" s="2"/>
      <x:c r="B26" s="2"/>
      <x:c r="C26" s="2" t="str">
        <x:v>Fixed property / entity costs</x:v>
      </x:c>
      <x:c r="D26" s="2" t="str">
        <x:v>USD</x:v>
      </x:c>
      <x:c r="E26" s="52" t="n">
        <x:f>IF(COUNT(G26:R26)=12,SUM(G26:R26),"n.a.")</x:f>
        <x:v>0</x:v>
      </x:c>
      <x:c r="F26" s="2"/>
      <x:c r="G26" s="51" t="n">
        <x:f>IF(AND(ISNUMBER('Assumptions'!$D$55)),'Assumptions'!$D$55/12,"n.a.")</x:f>
        <x:v>0</x:v>
      </x:c>
      <x:c r="H26" s="51" t="n">
        <x:f>IF(AND(ISNUMBER('Assumptions'!$D$55)),'Assumptions'!$D$55/12,"n.a.")</x:f>
        <x:v>0</x:v>
      </x:c>
      <x:c r="I26" s="51" t="n">
        <x:f>IF(AND(ISNUMBER('Assumptions'!$D$55)),'Assumptions'!$D$55/12,"n.a.")</x:f>
        <x:v>0</x:v>
      </x:c>
      <x:c r="J26" s="51" t="n">
        <x:f>IF(AND(ISNUMBER('Assumptions'!$D$55)),'Assumptions'!$D$55/12,"n.a.")</x:f>
        <x:v>0</x:v>
      </x:c>
      <x:c r="K26" s="51" t="n">
        <x:f>IF(AND(ISNUMBER('Assumptions'!$D$55)),'Assumptions'!$D$55/12,"n.a.")</x:f>
        <x:v>0</x:v>
      </x:c>
      <x:c r="L26" s="51" t="n">
        <x:f>IF(AND(ISNUMBER('Assumptions'!$D$55)),'Assumptions'!$D$55/12,"n.a.")</x:f>
        <x:v>0</x:v>
      </x:c>
      <x:c r="M26" s="51" t="n">
        <x:f>IF(AND(ISNUMBER('Assumptions'!$D$55)),'Assumptions'!$D$55/12,"n.a.")</x:f>
        <x:v>0</x:v>
      </x:c>
      <x:c r="N26" s="51" t="n">
        <x:f>IF(AND(ISNUMBER('Assumptions'!$D$55)),'Assumptions'!$D$55/12,"n.a.")</x:f>
        <x:v>0</x:v>
      </x:c>
      <x:c r="O26" s="51" t="n">
        <x:f>IF(AND(ISNUMBER('Assumptions'!$D$55)),'Assumptions'!$D$55/12,"n.a.")</x:f>
        <x:v>0</x:v>
      </x:c>
      <x:c r="P26" s="51" t="n">
        <x:f>IF(AND(ISNUMBER('Assumptions'!$D$55)),'Assumptions'!$D$55/12,"n.a.")</x:f>
        <x:v>0</x:v>
      </x:c>
      <x:c r="Q26" s="51" t="n">
        <x:f>IF(AND(ISNUMBER('Assumptions'!$D$55)),'Assumptions'!$D$55/12,"n.a.")</x:f>
        <x:v>0</x:v>
      </x:c>
      <x:c r="R26" s="51" t="n">
        <x:f>IF(AND(ISNUMBER('Assumptions'!$D$55)),'Assumptions'!$D$55/12,"n.a.")</x:f>
        <x:v>0</x:v>
      </x:c>
    </x:row>
    <x:row r="27" ht="21" customHeight="1">
      <x:c r="A27" s="2"/>
      <x:c r="B27" s="2"/>
      <x:c r="C27" s="56" t="str">
        <x:v>Total cash operating costs</x:v>
      </x:c>
      <x:c r="D27" s="56" t="str">
        <x:v>USD</x:v>
      </x:c>
      <x:c r="E27" s="57" t="n">
        <x:f>IF(COUNT(G27:R27)=12,SUM(G27:R27),"n.a.")</x:f>
        <x:v>3520800</x:v>
      </x:c>
      <x:c r="F27" s="56"/>
      <x:c r="G27" s="57" t="n">
        <x:f>IF(AND(ISNUMBER(G24),ISNUMBER(G26)),G24+G26,"n.a.")</x:f>
        <x:v>293400</x:v>
      </x:c>
      <x:c r="H27" s="57" t="n">
        <x:f>IF(AND(ISNUMBER(H24),ISNUMBER(H26)),H24+H26,"n.a.")</x:f>
        <x:v>293400</x:v>
      </x:c>
      <x:c r="I27" s="57" t="n">
        <x:f>IF(AND(ISNUMBER(I24),ISNUMBER(I26)),I24+I26,"n.a.")</x:f>
        <x:v>293400</x:v>
      </x:c>
      <x:c r="J27" s="57" t="n">
        <x:f>IF(AND(ISNUMBER(J24),ISNUMBER(J26)),J24+J26,"n.a.")</x:f>
        <x:v>293400</x:v>
      </x:c>
      <x:c r="K27" s="57" t="n">
        <x:f>IF(AND(ISNUMBER(K24),ISNUMBER(K26)),K24+K26,"n.a.")</x:f>
        <x:v>293400</x:v>
      </x:c>
      <x:c r="L27" s="57" t="n">
        <x:f>IF(AND(ISNUMBER(L24),ISNUMBER(L26)),L24+L26,"n.a.")</x:f>
        <x:v>293400</x:v>
      </x:c>
      <x:c r="M27" s="57" t="n">
        <x:f>IF(AND(ISNUMBER(M24),ISNUMBER(M26)),M24+M26,"n.a.")</x:f>
        <x:v>293400</x:v>
      </x:c>
      <x:c r="N27" s="57" t="n">
        <x:f>IF(AND(ISNUMBER(N24),ISNUMBER(N26)),N24+N26,"n.a.")</x:f>
        <x:v>293400</x:v>
      </x:c>
      <x:c r="O27" s="57" t="n">
        <x:f>IF(AND(ISNUMBER(O24),ISNUMBER(O26)),O24+O26,"n.a.")</x:f>
        <x:v>293400</x:v>
      </x:c>
      <x:c r="P27" s="57" t="n">
        <x:f>IF(AND(ISNUMBER(P24),ISNUMBER(P26)),P24+P26,"n.a.")</x:f>
        <x:v>293400</x:v>
      </x:c>
      <x:c r="Q27" s="57" t="n">
        <x:f>IF(AND(ISNUMBER(Q24),ISNUMBER(Q26)),Q24+Q26,"n.a.")</x:f>
        <x:v>293400</x:v>
      </x:c>
      <x:c r="R27" s="57" t="n">
        <x:f>IF(AND(ISNUMBER(R24),ISNUMBER(R26)),R24+R26,"n.a.")</x:f>
        <x:v>293400</x:v>
      </x:c>
    </x:row>
    <x:row r="28" ht="21" customHeight="1">
      <x:c r="A28" s="2"/>
      <x:c r="B28" s="2"/>
      <x:c r="C28" s="56" t="str">
        <x:v>Combined cash after listed obligations</x:v>
      </x:c>
      <x:c r="D28" s="56" t="str">
        <x:v>USD</x:v>
      </x:c>
      <x:c r="E28" s="57" t="n">
        <x:f>IF(COUNT(G28:R28)=12,SUM(G28:R28),"n.a.")</x:f>
        <x:v>1343897.4193548388</x:v>
      </x:c>
      <x:c r="F28" s="56"/>
      <x:c r="G28" s="57" t="n">
        <x:f>IF(AND(ISNUMBER(G19),ISNUMBER(G27)),G19-G27,"n.a.")</x:f>
        <x:v>124437.41935483873</x:v>
      </x:c>
      <x:c r="H28" s="57" t="n">
        <x:f>IF(AND(ISNUMBER(H19),ISNUMBER(H27)),H19-H27,"n.a.")</x:f>
        <x:v>61957.58064516127</x:v>
      </x:c>
      <x:c r="I28" s="57" t="n">
        <x:f>IF(AND(ISNUMBER(I19),ISNUMBER(I27)),I19-I27,"n.a.")</x:f>
        <x:v>159762.41935483873</x:v>
      </x:c>
      <x:c r="J28" s="57" t="n">
        <x:f>IF(AND(ISNUMBER(J19),ISNUMBER(J27)),J19-J27,"n.a.")</x:f>
        <x:v>95645.91397849459</x:v>
      </x:c>
      <x:c r="K28" s="57" t="n">
        <x:f>IF(AND(ISNUMBER(K19),ISNUMBER(K27)),K19-K27,"n.a.")</x:f>
        <x:v>126074.08602150541</x:v>
      </x:c>
      <x:c r="L28" s="57" t="n">
        <x:f>IF(AND(ISNUMBER(L19),ISNUMBER(L27)),L19-L27,"n.a.")</x:f>
        <x:v>95645.91397849459</x:v>
      </x:c>
      <x:c r="M28" s="57" t="n">
        <x:f>IF(AND(ISNUMBER(M19),ISNUMBER(M27)),M19-M27,"n.a.")</x:f>
        <x:v>126074.08602150541</x:v>
      </x:c>
      <x:c r="N28" s="57" t="n">
        <x:f>IF(AND(ISNUMBER(N19),ISNUMBER(N27)),N19-N27,"n.a.")</x:f>
        <x:v>110860</x:v>
      </x:c>
      <x:c r="O28" s="57" t="n">
        <x:f>IF(AND(ISNUMBER(O19),ISNUMBER(O27)),O19-O27,"n.a.")</x:f>
        <x:v>95645.91397849459</x:v>
      </x:c>
      <x:c r="P28" s="57" t="n">
        <x:f>IF(AND(ISNUMBER(P19),ISNUMBER(P27)),P19-P27,"n.a.")</x:f>
        <x:v>126074.08602150541</x:v>
      </x:c>
      <x:c r="Q28" s="57" t="n">
        <x:f>IF(AND(ISNUMBER(Q19),ISNUMBER(Q27)),Q19-Q27,"n.a.")</x:f>
        <x:v>95645.91397849459</x:v>
      </x:c>
      <x:c r="R28" s="57" t="n">
        <x:f>IF(AND(ISNUMBER(R19),ISNUMBER(R27)),R19-R27,"n.a.")</x:f>
        <x:v>126074.08602150541</x:v>
      </x:c>
    </x:row>
    <x:row r="29" ht="21" customHeight="1">
      <x:c r="A29" s="2"/>
      <x:c r="B29" s="2"/>
      <x:c r="C29" s="2" t="str">
        <x:v>Cash replacement reserve deposits</x:v>
      </x:c>
      <x:c r="D29" s="2" t="str">
        <x:v>USD</x:v>
      </x:c>
      <x:c r="E29" s="52" t="n">
        <x:f>IF(COUNT(G29:R29)=12,SUM(G29:R29),"n.a.")</x:f>
        <x:v>0</x:v>
      </x:c>
      <x:c r="F29" s="2"/>
      <x:c r="G29" s="51" t="n">
        <x:f>IF(AND(ISNUMBER(G19),ISNUMBER('Assumptions'!$D$58)),MAX(0,G19)*'Assumptions'!$D$58,"n.a.")</x:f>
        <x:v>0</x:v>
      </x:c>
      <x:c r="H29" s="51" t="n">
        <x:f>IF(AND(ISNUMBER(H19),ISNUMBER('Assumptions'!$D$58)),MAX(0,H19)*'Assumptions'!$D$58,"n.a.")</x:f>
        <x:v>0</x:v>
      </x:c>
      <x:c r="I29" s="51" t="n">
        <x:f>IF(AND(ISNUMBER(I19),ISNUMBER('Assumptions'!$D$58)),MAX(0,I19)*'Assumptions'!$D$58,"n.a.")</x:f>
        <x:v>0</x:v>
      </x:c>
      <x:c r="J29" s="51" t="n">
        <x:f>IF(AND(ISNUMBER(J19),ISNUMBER('Assumptions'!$D$58)),MAX(0,J19)*'Assumptions'!$D$58,"n.a.")</x:f>
        <x:v>0</x:v>
      </x:c>
      <x:c r="K29" s="51" t="n">
        <x:f>IF(AND(ISNUMBER(K19),ISNUMBER('Assumptions'!$D$58)),MAX(0,K19)*'Assumptions'!$D$58,"n.a.")</x:f>
        <x:v>0</x:v>
      </x:c>
      <x:c r="L29" s="51" t="n">
        <x:f>IF(AND(ISNUMBER(L19),ISNUMBER('Assumptions'!$D$58)),MAX(0,L19)*'Assumptions'!$D$58,"n.a.")</x:f>
        <x:v>0</x:v>
      </x:c>
      <x:c r="M29" s="51" t="n">
        <x:f>IF(AND(ISNUMBER(M19),ISNUMBER('Assumptions'!$D$58)),MAX(0,M19)*'Assumptions'!$D$58,"n.a.")</x:f>
        <x:v>0</x:v>
      </x:c>
      <x:c r="N29" s="51" t="n">
        <x:f>IF(AND(ISNUMBER(N19),ISNUMBER('Assumptions'!$D$58)),MAX(0,N19)*'Assumptions'!$D$58,"n.a.")</x:f>
        <x:v>0</x:v>
      </x:c>
      <x:c r="O29" s="51" t="n">
        <x:f>IF(AND(ISNUMBER(O19),ISNUMBER('Assumptions'!$D$58)),MAX(0,O19)*'Assumptions'!$D$58,"n.a.")</x:f>
        <x:v>0</x:v>
      </x:c>
      <x:c r="P29" s="51" t="n">
        <x:f>IF(AND(ISNUMBER(P19),ISNUMBER('Assumptions'!$D$58)),MAX(0,P19)*'Assumptions'!$D$58,"n.a.")</x:f>
        <x:v>0</x:v>
      </x:c>
      <x:c r="Q29" s="51" t="n">
        <x:f>IF(AND(ISNUMBER(Q19),ISNUMBER('Assumptions'!$D$58)),MAX(0,Q19)*'Assumptions'!$D$58,"n.a.")</x:f>
        <x:v>0</x:v>
      </x:c>
      <x:c r="R29" s="51" t="n">
        <x:f>IF(AND(ISNUMBER(R19),ISNUMBER('Assumptions'!$D$58)),MAX(0,R19)*'Assumptions'!$D$58,"n.a.")</x:f>
        <x:v>0</x:v>
      </x:c>
    </x:row>
    <x:row r="30" ht="21" customHeight="1">
      <x:c r="A30" s="2"/>
      <x:c r="B30" s="2"/>
      <x:c r="C30" s="56" t="str">
        <x:v>Cash NCF before property debt / capital</x:v>
      </x:c>
      <x:c r="D30" s="56" t="str">
        <x:v>USD</x:v>
      </x:c>
      <x:c r="E30" s="57" t="n">
        <x:f>IF(COUNT(G30:R30)=12,SUM(G30:R30),"n.a.")</x:f>
        <x:v>1343897.4193548388</x:v>
      </x:c>
      <x:c r="F30" s="56"/>
      <x:c r="G30" s="57" t="n">
        <x:f>IF(AND(ISNUMBER(G28),ISNUMBER(G29)),G28-G29,"n.a.")</x:f>
        <x:v>124437.41935483873</x:v>
      </x:c>
      <x:c r="H30" s="57" t="n">
        <x:f>IF(AND(ISNUMBER(H28),ISNUMBER(H29)),H28-H29,"n.a.")</x:f>
        <x:v>61957.58064516127</x:v>
      </x:c>
      <x:c r="I30" s="57" t="n">
        <x:f>IF(AND(ISNUMBER(I28),ISNUMBER(I29)),I28-I29,"n.a.")</x:f>
        <x:v>159762.41935483873</x:v>
      </x:c>
      <x:c r="J30" s="57" t="n">
        <x:f>IF(AND(ISNUMBER(J28),ISNUMBER(J29)),J28-J29,"n.a.")</x:f>
        <x:v>95645.91397849459</x:v>
      </x:c>
      <x:c r="K30" s="57" t="n">
        <x:f>IF(AND(ISNUMBER(K28),ISNUMBER(K29)),K28-K29,"n.a.")</x:f>
        <x:v>126074.08602150541</x:v>
      </x:c>
      <x:c r="L30" s="57" t="n">
        <x:f>IF(AND(ISNUMBER(L28),ISNUMBER(L29)),L28-L29,"n.a.")</x:f>
        <x:v>95645.91397849459</x:v>
      </x:c>
      <x:c r="M30" s="57" t="n">
        <x:f>IF(AND(ISNUMBER(M28),ISNUMBER(M29)),M28-M29,"n.a.")</x:f>
        <x:v>126074.08602150541</x:v>
      </x:c>
      <x:c r="N30" s="57" t="n">
        <x:f>IF(AND(ISNUMBER(N28),ISNUMBER(N29)),N28-N29,"n.a.")</x:f>
        <x:v>110860</x:v>
      </x:c>
      <x:c r="O30" s="57" t="n">
        <x:f>IF(AND(ISNUMBER(O28),ISNUMBER(O29)),O28-O29,"n.a.")</x:f>
        <x:v>95645.91397849459</x:v>
      </x:c>
      <x:c r="P30" s="57" t="n">
        <x:f>IF(AND(ISNUMBER(P28),ISNUMBER(P29)),P28-P29,"n.a.")</x:f>
        <x:v>126074.08602150541</x:v>
      </x:c>
      <x:c r="Q30" s="57" t="n">
        <x:f>IF(AND(ISNUMBER(Q28),ISNUMBER(Q29)),Q28-Q29,"n.a.")</x:f>
        <x:v>95645.91397849459</x:v>
      </x:c>
      <x:c r="R30" s="57" t="n">
        <x:f>IF(AND(ISNUMBER(R28),ISNUMBER(R29)),R28-R29,"n.a.")</x:f>
        <x:v>126074.08602150541</x:v>
      </x:c>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IF(AND(ISNUMBER('Operations'!E30),ISNUMBER('Assumptions'!$D$52)),'Operations'!E30+'Assumptions'!$D$52,"n.a.")</x:f>
        <x:v>1343897.4193548388</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13268988.603661159</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3900000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14932193.548387099</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3500000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23632.250647167457</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5810000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2310000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690000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3207730.067746341</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3500000</x:v>
      </x:c>
      <x:c r="H29" s="60" t="n">
        <x:f>IF(AND(ISNUMBER(G33)),G33,"n.a.")</x:f>
        <x:v>3500000</x:v>
      </x:c>
      <x:c r="I29" s="60" t="n">
        <x:f>IF(AND(ISNUMBER(H33)),H33,"n.a.")</x:f>
        <x:v>3500000</x:v>
      </x:c>
      <x:c r="J29" s="60" t="n">
        <x:f>IF(AND(ISNUMBER(I33)),I33,"n.a.")</x:f>
        <x:v>3500000</x:v>
      </x:c>
      <x:c r="K29" s="60" t="n">
        <x:f>IF(AND(ISNUMBER(J33)),J33,"n.a.")</x:f>
        <x:v>3500000</x:v>
      </x:c>
      <x:c r="L29" s="60" t="n">
        <x:f>IF(AND(ISNUMBER(K33)),K33,"n.a.")</x:f>
        <x:v>3500000</x:v>
      </x:c>
      <x:c r="M29" s="60" t="n">
        <x:f>IF(AND(ISNUMBER(L33)),L33,"n.a.")</x:f>
        <x:v>3500000</x:v>
      </x:c>
      <x:c r="N29" s="60" t="n">
        <x:f>IF(AND(ISNUMBER(M33)),M33,"n.a.")</x:f>
        <x:v>3495326.082686166</x:v>
      </x:c>
      <x:c r="O29" s="60" t="n">
        <x:f>IF(AND(ISNUMBER(N33)),N33,"n.a.")</x:f>
        <x:v>3490626.848320215</x:v>
      </x:c>
      <x:c r="P29" s="60" t="n">
        <x:f>IF(AND(ISNUMBER(O33)),O33,"n.a.")</x:f>
        <x:v>3485902.1597681153</x:v>
      </x:c>
      <x:c r="Q29" s="60" t="n">
        <x:f>IF(AND(ISNUMBER(P33)),P33,"n.a.")</x:f>
        <x:v>3481151.879153025</x:v>
      </x:c>
      <x:c r="R29" s="60" t="n">
        <x:f>IF(AND(ISNUMBER(Q33)),Q33,"n.a.")</x:f>
        <x:v>3476375.8678512694</x:v>
      </x:c>
    </x:row>
    <x:row r="30" ht="21" customHeight="1">
      <x:c r="A30" s="2"/>
      <x:c r="B30" s="2"/>
      <x:c r="C30" s="2" t="str">
        <x:v>Monthly interest</x:v>
      </x:c>
      <x:c r="D30" s="2"/>
      <x:c r="E30" s="2"/>
      <x:c r="F30" s="2"/>
      <x:c r="G30" s="61" t="n">
        <x:f>IF(AND(ISNUMBER(G29),ISNUMBER('Assumptions'!$D$31)),G29*'Assumptions'!$D$31/12,"n.a.")</x:f>
        <x:v>18958.333333333332</x:v>
      </x:c>
      <x:c r="H30" s="61" t="n">
        <x:f>IF(AND(ISNUMBER(H29),ISNUMBER('Assumptions'!$D$31)),H29*'Assumptions'!$D$31/12,"n.a.")</x:f>
        <x:v>18958.333333333332</x:v>
      </x:c>
      <x:c r="I30" s="61" t="n">
        <x:f>IF(AND(ISNUMBER(I29),ISNUMBER('Assumptions'!$D$31)),I29*'Assumptions'!$D$31/12,"n.a.")</x:f>
        <x:v>18958.333333333332</x:v>
      </x:c>
      <x:c r="J30" s="61" t="n">
        <x:f>IF(AND(ISNUMBER(J29),ISNUMBER('Assumptions'!$D$31)),J29*'Assumptions'!$D$31/12,"n.a.")</x:f>
        <x:v>18958.333333333332</x:v>
      </x:c>
      <x:c r="K30" s="61" t="n">
        <x:f>IF(AND(ISNUMBER(K29),ISNUMBER('Assumptions'!$D$31)),K29*'Assumptions'!$D$31/12,"n.a.")</x:f>
        <x:v>18958.333333333332</x:v>
      </x:c>
      <x:c r="L30" s="61" t="n">
        <x:f>IF(AND(ISNUMBER(L29),ISNUMBER('Assumptions'!$D$31)),L29*'Assumptions'!$D$31/12,"n.a.")</x:f>
        <x:v>18958.333333333332</x:v>
      </x:c>
      <x:c r="M30" s="61" t="n">
        <x:f>IF(AND(ISNUMBER(M29),ISNUMBER('Assumptions'!$D$31)),M29*'Assumptions'!$D$31/12,"n.a.")</x:f>
        <x:v>18958.333333333332</x:v>
      </x:c>
      <x:c r="N30" s="61" t="n">
        <x:f>IF(AND(ISNUMBER(N29),ISNUMBER('Assumptions'!$D$31)),N29*'Assumptions'!$D$31/12,"n.a.")</x:f>
        <x:v>18933.016281216733</x:v>
      </x:c>
      <x:c r="O30" s="61" t="n">
        <x:f>IF(AND(ISNUMBER(O29),ISNUMBER('Assumptions'!$D$31)),O29*'Assumptions'!$D$31/12,"n.a.")</x:f>
        <x:v>18907.56209506783</x:v>
      </x:c>
      <x:c r="P30" s="61" t="n">
        <x:f>IF(AND(ISNUMBER(P29),ISNUMBER('Assumptions'!$D$31)),P29*'Assumptions'!$D$31/12,"n.a.")</x:f>
        <x:v>18881.970032077294</x:v>
      </x:c>
      <x:c r="Q30" s="61" t="n">
        <x:f>IF(AND(ISNUMBER(Q29),ISNUMBER('Assumptions'!$D$31)),Q29*'Assumptions'!$D$31/12,"n.a.")</x:f>
        <x:v>18856.239345412218</x:v>
      </x:c>
      <x:c r="R30" s="61" t="n">
        <x:f>IF(AND(ISNUMBER(R29),ISNUMBER('Assumptions'!$D$31)),R29*'Assumptions'!$D$31/12,"n.a.")</x:f>
        <x:v>18830.369284194378</x:v>
      </x:c>
    </x:row>
    <x:row r="31" ht="21" customHeight="1">
      <x:c r="A31" s="2"/>
      <x:c r="B31" s="2"/>
      <x:c r="C31" s="2" t="str">
        <x:v>Scheduled payment</x:v>
      </x:c>
      <x:c r="D31" s="2"/>
      <x:c r="E31" s="2"/>
      <x:c r="F31" s="2"/>
      <x:c r="G31" s="61" t="n">
        <x:f>IF(AND(ISNUMBER('Assumptions'!$D$37),ISNUMBER(G30),ISNUMBER(G29),ISNUMBER(D16)),IF(1&lt;='Assumptions'!$D$37,G30,MIN(G29+G30,D16)),"n.a.")</x:f>
        <x:v>18958.333333333332</x:v>
      </x:c>
      <x:c r="H31" s="61" t="n">
        <x:f>IF(AND(ISNUMBER('Assumptions'!$D$37),ISNUMBER(H30),ISNUMBER(H29),ISNUMBER(D16)),IF(2&lt;='Assumptions'!$D$37,H30,MIN(H29+H30,D16)),"n.a.")</x:f>
        <x:v>18958.333333333332</x:v>
      </x:c>
      <x:c r="I31" s="61" t="n">
        <x:f>IF(AND(ISNUMBER('Assumptions'!$D$37),ISNUMBER(I30),ISNUMBER(I29),ISNUMBER(D16)),IF(3&lt;='Assumptions'!$D$37,I30,MIN(I29+I30,D16)),"n.a.")</x:f>
        <x:v>18958.333333333332</x:v>
      </x:c>
      <x:c r="J31" s="61" t="n">
        <x:f>IF(AND(ISNUMBER('Assumptions'!$D$37),ISNUMBER(J30),ISNUMBER(J29),ISNUMBER(D16)),IF(4&lt;='Assumptions'!$D$37,J30,MIN(J29+J30,D16)),"n.a.")</x:f>
        <x:v>18958.333333333332</x:v>
      </x:c>
      <x:c r="K31" s="61" t="n">
        <x:f>IF(AND(ISNUMBER('Assumptions'!$D$37),ISNUMBER(K30),ISNUMBER(K29),ISNUMBER(D16)),IF(5&lt;='Assumptions'!$D$37,K30,MIN(K29+K30,D16)),"n.a.")</x:f>
        <x:v>18958.333333333332</x:v>
      </x:c>
      <x:c r="L31" s="61" t="n">
        <x:f>IF(AND(ISNUMBER('Assumptions'!$D$37),ISNUMBER(L30),ISNUMBER(L29),ISNUMBER(D16)),IF(6&lt;='Assumptions'!$D$37,L30,MIN(L29+L30,D16)),"n.a.")</x:f>
        <x:v>18958.333333333332</x:v>
      </x:c>
      <x:c r="M31" s="61" t="n">
        <x:f>IF(AND(ISNUMBER('Assumptions'!$D$37),ISNUMBER(M30),ISNUMBER(M29),ISNUMBER(D16)),IF(7&lt;='Assumptions'!$D$37,M30,MIN(M29+M30,D16)),"n.a.")</x:f>
        <x:v>23632.250647167457</x:v>
      </x:c>
      <x:c r="N31" s="61" t="n">
        <x:f>IF(AND(ISNUMBER('Assumptions'!$D$37),ISNUMBER(N30),ISNUMBER(N29),ISNUMBER(D16)),IF(8&lt;='Assumptions'!$D$37,N30,MIN(N29+N30,D16)),"n.a.")</x:f>
        <x:v>23632.250647167457</x:v>
      </x:c>
      <x:c r="O31" s="61" t="n">
        <x:f>IF(AND(ISNUMBER('Assumptions'!$D$37),ISNUMBER(O30),ISNUMBER(O29),ISNUMBER(D16)),IF(9&lt;='Assumptions'!$D$37,O30,MIN(O29+O30,D16)),"n.a.")</x:f>
        <x:v>23632.250647167457</x:v>
      </x:c>
      <x:c r="P31" s="61" t="n">
        <x:f>IF(AND(ISNUMBER('Assumptions'!$D$37),ISNUMBER(P30),ISNUMBER(P29),ISNUMBER(D16)),IF(10&lt;='Assumptions'!$D$37,P30,MIN(P29+P30,D16)),"n.a.")</x:f>
        <x:v>23632.250647167457</x:v>
      </x:c>
      <x:c r="Q31" s="61" t="n">
        <x:f>IF(AND(ISNUMBER('Assumptions'!$D$37),ISNUMBER(Q30),ISNUMBER(Q29),ISNUMBER(D16)),IF(11&lt;='Assumptions'!$D$37,Q30,MIN(Q29+Q30,D16)),"n.a.")</x:f>
        <x:v>23632.250647167457</x:v>
      </x:c>
      <x:c r="R31" s="61" t="n">
        <x:f>IF(AND(ISNUMBER('Assumptions'!$D$37),ISNUMBER(R30),ISNUMBER(R29),ISNUMBER(D16)),IF(12&lt;='Assumptions'!$D$37,R30,MIN(R29+R30,D16)),"n.a.")</x:f>
        <x:v>23632.250647167457</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4673.917313834125</x:v>
      </x:c>
      <x:c r="N32" s="60" t="n">
        <x:f>IF(AND(ISNUMBER(N31),ISNUMBER(N30)),N31-N30,"n.a.")</x:f>
        <x:v>4699.234365950724</x:v>
      </x:c>
      <x:c r="O32" s="60" t="n">
        <x:f>IF(AND(ISNUMBER(O31),ISNUMBER(O30)),O31-O30,"n.a.")</x:f>
        <x:v>4724.688552099626</x:v>
      </x:c>
      <x:c r="P32" s="60" t="n">
        <x:f>IF(AND(ISNUMBER(P31),ISNUMBER(P30)),P31-P30,"n.a.")</x:f>
        <x:v>4750.280615090163</x:v>
      </x:c>
      <x:c r="Q32" s="60" t="n">
        <x:f>IF(AND(ISNUMBER(Q31),ISNUMBER(Q30)),Q31-Q30,"n.a.")</x:f>
        <x:v>4776.011301755239</x:v>
      </x:c>
      <x:c r="R32" s="60" t="n">
        <x:f>IF(AND(ISNUMBER(R31),ISNUMBER(R30)),R31-R30,"n.a.")</x:f>
        <x:v>4801.881362973079</x:v>
      </x:c>
    </x:row>
    <x:row r="33" ht="21" customHeight="1">
      <x:c r="A33" s="2"/>
      <x:c r="B33" s="2"/>
      <x:c r="C33" s="2" t="str">
        <x:v>Ending loan balance</x:v>
      </x:c>
      <x:c r="D33" s="2"/>
      <x:c r="E33" s="2"/>
      <x:c r="F33" s="2"/>
      <x:c r="G33" s="60" t="n">
        <x:f>IF(AND(ISNUMBER(G29),ISNUMBER(G32),ISNUMBER(G38)),G29-G32-G38,"n.a.")</x:f>
        <x:v>3500000</x:v>
      </x:c>
      <x:c r="H33" s="60" t="n">
        <x:f>IF(AND(ISNUMBER(H29),ISNUMBER(H32),ISNUMBER(H38)),H29-H32-H38,"n.a.")</x:f>
        <x:v>3500000</x:v>
      </x:c>
      <x:c r="I33" s="60" t="n">
        <x:f>IF(AND(ISNUMBER(I29),ISNUMBER(I32),ISNUMBER(I38)),I29-I32-I38,"n.a.")</x:f>
        <x:v>3500000</x:v>
      </x:c>
      <x:c r="J33" s="60" t="n">
        <x:f>IF(AND(ISNUMBER(J29),ISNUMBER(J32),ISNUMBER(J38)),J29-J32-J38,"n.a.")</x:f>
        <x:v>3500000</x:v>
      </x:c>
      <x:c r="K33" s="60" t="n">
        <x:f>IF(AND(ISNUMBER(K29),ISNUMBER(K32),ISNUMBER(K38)),K29-K32-K38,"n.a.")</x:f>
        <x:v>3500000</x:v>
      </x:c>
      <x:c r="L33" s="60" t="n">
        <x:f>IF(AND(ISNUMBER(L29),ISNUMBER(L32),ISNUMBER(L38)),L29-L32-L38,"n.a.")</x:f>
        <x:v>3500000</x:v>
      </x:c>
      <x:c r="M33" s="60" t="n">
        <x:f>IF(AND(ISNUMBER(M29),ISNUMBER(M32),ISNUMBER(M38)),M29-M32-M38,"n.a.")</x:f>
        <x:v>3495326.082686166</x:v>
      </x:c>
      <x:c r="N33" s="60" t="n">
        <x:f>IF(AND(ISNUMBER(N29),ISNUMBER(N32),ISNUMBER(N38)),N29-N32-N38,"n.a.")</x:f>
        <x:v>3490626.848320215</x:v>
      </x:c>
      <x:c r="O33" s="60" t="n">
        <x:f>IF(AND(ISNUMBER(O29),ISNUMBER(O32),ISNUMBER(O38)),O29-O32-O38,"n.a.")</x:f>
        <x:v>3485902.1597681153</x:v>
      </x:c>
      <x:c r="P33" s="60" t="n">
        <x:f>IF(AND(ISNUMBER(P29),ISNUMBER(P32),ISNUMBER(P38)),P29-P32-P38,"n.a.")</x:f>
        <x:v>3481151.879153025</x:v>
      </x:c>
      <x:c r="Q33" s="60" t="n">
        <x:f>IF(AND(ISNUMBER(Q29),ISNUMBER(Q32),ISNUMBER(Q38)),Q29-Q32-Q38,"n.a.")</x:f>
        <x:v>3476375.8678512694</x:v>
      </x:c>
      <x:c r="R33" s="60" t="n">
        <x:f>IF(AND(ISNUMBER(R29),ISNUMBER(R32),ISNUMBER(R38)),R29-R32-R38,"n.a.")</x:f>
        <x:v>3471573.986488296</x:v>
      </x:c>
    </x:row>
    <x:row r="34" ht="21" customHeight="1">
      <x:c r="A34" s="2"/>
      <x:c r="B34" s="2"/>
      <x:c r="C34" s="2" t="str">
        <x:v>Operating cash NCF</x:v>
      </x:c>
      <x:c r="D34" s="2"/>
      <x:c r="E34" s="2"/>
      <x:c r="F34" s="2"/>
      <x:c r="G34" s="61" t="n">
        <x:f>IF(AND(ISNUMBER('Operations'!G30)),'Operations'!G30,"n.a.")</x:f>
        <x:v>124437.41935483873</x:v>
      </x:c>
      <x:c r="H34" s="61" t="n">
        <x:f>IF(AND(ISNUMBER('Operations'!H30)),'Operations'!H30,"n.a.")</x:f>
        <x:v>61957.58064516127</x:v>
      </x:c>
      <x:c r="I34" s="61" t="n">
        <x:f>IF(AND(ISNUMBER('Operations'!I30)),'Operations'!I30,"n.a.")</x:f>
        <x:v>159762.41935483873</x:v>
      </x:c>
      <x:c r="J34" s="61" t="n">
        <x:f>IF(AND(ISNUMBER('Operations'!J30)),'Operations'!J30,"n.a.")</x:f>
        <x:v>95645.91397849459</x:v>
      </x:c>
      <x:c r="K34" s="61" t="n">
        <x:f>IF(AND(ISNUMBER('Operations'!K30)),'Operations'!K30,"n.a.")</x:f>
        <x:v>126074.08602150541</x:v>
      </x:c>
      <x:c r="L34" s="61" t="n">
        <x:f>IF(AND(ISNUMBER('Operations'!L30)),'Operations'!L30,"n.a.")</x:f>
        <x:v>95645.91397849459</x:v>
      </x:c>
      <x:c r="M34" s="61" t="n">
        <x:f>IF(AND(ISNUMBER('Operations'!M30)),'Operations'!M30,"n.a.")</x:f>
        <x:v>126074.08602150541</x:v>
      </x:c>
      <x:c r="N34" s="61" t="n">
        <x:f>IF(AND(ISNUMBER('Operations'!N30)),'Operations'!N30,"n.a.")</x:f>
        <x:v>110860</x:v>
      </x:c>
      <x:c r="O34" s="61" t="n">
        <x:f>IF(AND(ISNUMBER('Operations'!O30)),'Operations'!O30,"n.a.")</x:f>
        <x:v>95645.91397849459</x:v>
      </x:c>
      <x:c r="P34" s="61" t="n">
        <x:f>IF(AND(ISNUMBER('Operations'!P30)),'Operations'!P30,"n.a.")</x:f>
        <x:v>126074.08602150541</x:v>
      </x:c>
      <x:c r="Q34" s="61" t="n">
        <x:f>IF(AND(ISNUMBER('Operations'!Q30)),'Operations'!Q30,"n.a.")</x:f>
        <x:v>95645.91397849459</x:v>
      </x:c>
      <x:c r="R34" s="61" t="n">
        <x:f>IF(AND(ISNUMBER('Operations'!R30)),'Operations'!R30,"n.a.")</x:f>
        <x:v>126074.08602150541</x:v>
      </x:c>
    </x:row>
    <x:row r="35" ht="21" customHeight="1">
      <x:c r="A35" s="2"/>
      <x:c r="B35" s="2"/>
      <x:c r="C35" s="2" t="str">
        <x:v>Capital-work cash</x:v>
      </x:c>
      <x:c r="D35" s="2"/>
      <x:c r="E35" s="2"/>
      <x:c r="F35" s="2"/>
      <x:c r="G35" s="61" t="n">
        <x:f>IF(AND(ISNUMBER('Operations'!G25)),'Operations'!G25,"n.a.")</x:f>
        <x:v>0</x:v>
      </x:c>
      <x:c r="H35" s="61" t="n">
        <x:f>IF(AND(ISNUMBER('Operations'!H25)),'Operations'!H25,"n.a.")</x:f>
        <x:v>0</x:v>
      </x:c>
      <x:c r="I35" s="61" t="n">
        <x:f>IF(AND(ISNUMBER('Operations'!I25)),'Operations'!I25,"n.a.")</x:f>
        <x:v>0</x:v>
      </x:c>
      <x:c r="J35" s="61" t="n">
        <x:f>IF(AND(ISNUMBER('Operations'!J25)),'Operations'!J25,"n.a.")</x:f>
        <x:v>0</x:v>
      </x:c>
      <x:c r="K35" s="61" t="n">
        <x:f>IF(AND(ISNUMBER('Operations'!K25)),'Operations'!K25,"n.a.")</x:f>
        <x:v>0</x:v>
      </x:c>
      <x:c r="L35" s="61" t="n">
        <x:f>IF(AND(ISNUMBER('Operations'!L25)),'Operations'!L25,"n.a.")</x:f>
        <x:v>0</x:v>
      </x:c>
      <x:c r="M35" s="61" t="n">
        <x:f>IF(AND(ISNUMBER('Operations'!M25)),'Operations'!M25,"n.a.")</x:f>
        <x:v>0</x:v>
      </x:c>
      <x:c r="N35" s="61" t="n">
        <x:f>IF(AND(ISNUMBER('Operations'!N25)),'Operations'!N25,"n.a.")</x:f>
        <x:v>160000</x:v>
      </x:c>
      <x:c r="O35" s="61" t="n">
        <x:f>IF(AND(ISNUMBER('Operations'!O25)),'Operations'!O25,"n.a.")</x:f>
        <x:v>0</x:v>
      </x:c>
      <x:c r="P35" s="61" t="n">
        <x:f>IF(AND(ISNUMBER('Operations'!P25)),'Operations'!P25,"n.a.")</x:f>
        <x:v>0</x:v>
      </x:c>
      <x:c r="Q35" s="61" t="n">
        <x:f>IF(AND(ISNUMBER('Operations'!Q25)),'Operations'!Q25,"n.a.")</x:f>
        <x:v>0</x:v>
      </x:c>
      <x:c r="R35" s="61" t="n">
        <x:f>IF(AND(ISNUMBER('Operations'!R25)),'Operations'!R25,"n.a.")</x:f>
        <x:v>0</x:v>
      </x:c>
    </x:row>
    <x:row r="36" ht="21" customHeight="1">
      <x:c r="A36" s="2"/>
      <x:c r="B36" s="2"/>
      <x:c r="C36" s="2" t="str">
        <x:v>Cash after debt and capital</x:v>
      </x:c>
      <x:c r="D36" s="2"/>
      <x:c r="E36" s="2"/>
      <x:c r="F36" s="2"/>
      <x:c r="G36" s="60" t="n">
        <x:f>IF(AND(ISNUMBER(G34),ISNUMBER(G31),ISNUMBER(G35),ISNUMBER(G38)),G34-G31-G35-G38,"n.a.")</x:f>
        <x:v>105479.0860215054</x:v>
      </x:c>
      <x:c r="H36" s="60" t="n">
        <x:f>IF(AND(ISNUMBER(H34),ISNUMBER(H31),ISNUMBER(H35),ISNUMBER(H38)),H34-H31-H35-H38,"n.a.")</x:f>
        <x:v>42999.247311827945</x:v>
      </x:c>
      <x:c r="I36" s="60" t="n">
        <x:f>IF(AND(ISNUMBER(I34),ISNUMBER(I31),ISNUMBER(I35),ISNUMBER(I38)),I34-I31-I35-I38,"n.a.")</x:f>
        <x:v>140804.08602150538</x:v>
      </x:c>
      <x:c r="J36" s="60" t="n">
        <x:f>IF(AND(ISNUMBER(J34),ISNUMBER(J31),ISNUMBER(J35),ISNUMBER(J38)),J34-J31-J35-J38,"n.a.")</x:f>
        <x:v>76687.58064516126</x:v>
      </x:c>
      <x:c r="K36" s="60" t="n">
        <x:f>IF(AND(ISNUMBER(K34),ISNUMBER(K31),ISNUMBER(K35),ISNUMBER(K38)),K34-K31-K35-K38,"n.a.")</x:f>
        <x:v>107115.75268817208</x:v>
      </x:c>
      <x:c r="L36" s="60" t="n">
        <x:f>IF(AND(ISNUMBER(L34),ISNUMBER(L31),ISNUMBER(L35),ISNUMBER(L38)),L34-L31-L35-L38,"n.a.")</x:f>
        <x:v>76687.58064516126</x:v>
      </x:c>
      <x:c r="M36" s="60" t="n">
        <x:f>IF(AND(ISNUMBER(M34),ISNUMBER(M31),ISNUMBER(M35),ISNUMBER(M38)),M34-M31-M35-M38,"n.a.")</x:f>
        <x:v>102441.83537433796</x:v>
      </x:c>
      <x:c r="N36" s="60" t="n">
        <x:f>IF(AND(ISNUMBER(N34),ISNUMBER(N31),ISNUMBER(N35),ISNUMBER(N38)),N34-N31-N35-N38,"n.a.")</x:f>
        <x:v>-72772.25064716746</x:v>
      </x:c>
      <x:c r="O36" s="60" t="n">
        <x:f>IF(AND(ISNUMBER(O34),ISNUMBER(O31),ISNUMBER(O35),ISNUMBER(O38)),O34-O31-O35-O38,"n.a.")</x:f>
        <x:v>72013.66333132713</x:v>
      </x:c>
      <x:c r="P36" s="60" t="n">
        <x:f>IF(AND(ISNUMBER(P34),ISNUMBER(P31),ISNUMBER(P35),ISNUMBER(P38)),P34-P31-P35-P38,"n.a.")</x:f>
        <x:v>102441.83537433796</x:v>
      </x:c>
      <x:c r="Q36" s="60" t="n">
        <x:f>IF(AND(ISNUMBER(Q34),ISNUMBER(Q31),ISNUMBER(Q35),ISNUMBER(Q38)),Q34-Q31-Q35-Q38,"n.a.")</x:f>
        <x:v>72013.66333132713</x:v>
      </x:c>
      <x:c r="R36" s="60" t="n">
        <x:f>IF(AND(ISNUMBER(R34),ISNUMBER(R31),ISNUMBER(R35),ISNUMBER(R38)),R34-R31-R35-R38,"n.a.")</x:f>
        <x:v>102441.83537433796</x:v>
      </x:c>
    </x:row>
    <x:row r="37" ht="21" customHeight="1">
      <x:c r="A37" s="2"/>
      <x:c r="B37" s="2"/>
      <x:c r="C37" s="2" t="str">
        <x:v>Ending operating cash</x:v>
      </x:c>
      <x:c r="D37" s="2"/>
      <x:c r="E37" s="2"/>
      <x:c r="F37" s="2"/>
      <x:c r="G37" s="61" t="n">
        <x:f>IF(AND(ISNUMBER('Assumptions'!$D$22),ISNUMBER(G36)),'Assumptions'!$D$22+G36,"n.a.")</x:f>
        <x:v>455479.0860215054</x:v>
      </x:c>
      <x:c r="H37" s="60" t="n">
        <x:f>IF(AND(ISNUMBER(G37),ISNUMBER(H36)),G37+H36,"n.a.")</x:f>
        <x:v>498478.3333333334</x:v>
      </x:c>
      <x:c r="I37" s="60" t="n">
        <x:f>IF(AND(ISNUMBER(H37),ISNUMBER(I36)),H37+I36,"n.a.")</x:f>
        <x:v>639282.4193548388</x:v>
      </x:c>
      <x:c r="J37" s="60" t="n">
        <x:f>IF(AND(ISNUMBER(I37),ISNUMBER(J36)),I37+J36,"n.a.")</x:f>
        <x:v>715970</x:v>
      </x:c>
      <x:c r="K37" s="60" t="n">
        <x:f>IF(AND(ISNUMBER(J37),ISNUMBER(K36)),J37+K36,"n.a.")</x:f>
        <x:v>823085.752688172</x:v>
      </x:c>
      <x:c r="L37" s="60" t="n">
        <x:f>IF(AND(ISNUMBER(K37),ISNUMBER(L36)),K37+L36,"n.a.")</x:f>
        <x:v>899773.3333333333</x:v>
      </x:c>
      <x:c r="M37" s="60" t="n">
        <x:f>IF(AND(ISNUMBER(L37),ISNUMBER(M36)),L37+M36,"n.a.")</x:f>
        <x:v>1002215.1687076712</x:v>
      </x:c>
      <x:c r="N37" s="60" t="n">
        <x:f>IF(AND(ISNUMBER(M37),ISNUMBER(N36)),M37+N36,"n.a.")</x:f>
        <x:v>929442.9180605038</x:v>
      </x:c>
      <x:c r="O37" s="60" t="n">
        <x:f>IF(AND(ISNUMBER(N37),ISNUMBER(O36)),N37+O36,"n.a.")</x:f>
        <x:v>1001456.5813918309</x:v>
      </x:c>
      <x:c r="P37" s="60" t="n">
        <x:f>IF(AND(ISNUMBER(O37),ISNUMBER(P36)),O37+P36,"n.a.")</x:f>
        <x:v>1103898.4167661688</x:v>
      </x:c>
      <x:c r="Q37" s="60" t="n">
        <x:f>IF(AND(ISNUMBER(P37),ISNUMBER(Q36)),P37+Q36,"n.a.")</x:f>
        <x:v>1175912.0800974958</x:v>
      </x:c>
      <x:c r="R37" s="60" t="n">
        <x:f>IF(AND(ISNUMBER(Q37),ISNUMBER(R36)),Q37+R36,"n.a.")</x:f>
        <x:v>1278353.9154718337</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255543.50388300465</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5.258977038876773</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3471573.986488296</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690000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1278353.9154718337</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28-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x:f>
        <x:v>0</x:v>
      </x:c>
      <x:c r="E10" s="2"/>
      <x:c r="F10" s="2"/>
      <x:c r="G10" s="2"/>
      <x:c r="H10" s="2"/>
      <x:c r="I10" s="2"/>
      <x:c r="J10" s="2"/>
    </x:row>
    <x:row r="11" ht="21" customHeight="1">
      <x:c r="A11" s="2"/>
      <x:c r="B11" s="2"/>
      <x:c r="C11" s="2" t="str">
        <x:v>Source rows needing correction</x:v>
      </x:c>
      <x:c r="D11" s="71" t="n">
        <x:f>COUNTIFS('Fleet and Freight Cash'!N10:N21,"Missing / invalid input")</x:f>
        <x:v>0</x:v>
      </x:c>
      <x:c r="E11" s="2"/>
      <x:c r="F11" s="2"/>
      <x:c r="G11" s="2"/>
      <x:c r="H11" s="2"/>
      <x:c r="I11" s="2"/>
      <x:c r="J11" s="2"/>
    </x:row>
    <x:row r="12" ht="21" customHeight="1">
      <x:c r="A12" s="2"/>
      <x:c r="B12" s="2"/>
      <x:c r="C12" s="2" t="str">
        <x:v>Residual cash-cost reconciliation</x:v>
      </x:c>
      <x:c r="D12" s="71" t="n">
        <x:f>IF(AND(ISNUMBER('Operations'!E28),ISNUMBER('Operations'!E19),ISNUMBER('Operations'!E27)),'Operations'!E28-'Operations'!E19+'Operations'!E27,"n.a.")</x:f>
        <x:v>4.656612873077393e-10</x:v>
      </x:c>
      <x:c r="E12" s="2"/>
      <x:c r="F12" s="2"/>
      <x:c r="G12" s="2"/>
      <x:c r="H12" s="2"/>
      <x:c r="I12" s="2"/>
      <x:c r="J12" s="2"/>
    </x:row>
    <x:row r="13" ht="21" customHeight="1">
      <x:c r="A13" s="2"/>
      <x:c r="B13" s="2"/>
      <x:c r="C13" s="2" t="str">
        <x:v>NCF reserve reconciliation</x:v>
      </x:c>
      <x:c r="D13" s="71" t="n">
        <x:f>IF(AND(ISNUMBER('Operations'!E30),ISNUMBER('Operations'!E28),ISNUMBER('Operations'!E29)),'Operations'!E30-'Operations'!E28+'Operations'!E29,"n.a.")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9.313225746154785e-10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-4.656612873077393e-10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All miles incur fuel and driver cost; only loaded miles earn the entered net freight</x:v>
      </x:c>
      <x:c r="D23" s="2"/>
      <x:c r="E23" s="2"/>
      <x:c r="F23" s="2"/>
      <x:c r="G23" s="2"/>
      <x:c r="H23" s="2"/>
      <x:c r="I23" s="2"/>
      <x:c r="J23" s="2"/>
    </x:row>
    <x:row r="24" ht="21" customHeight="1">
      <x:c r="A24" s="2"/>
      <x:c r="B24" s="2"/>
      <x:c r="C24" s="2" t="str">
        <x:v>rate. Include fuel surcharges and deductions in that net rate exactly once. Enter</x:v>
      </x:c>
      <x:c r="D24" s="2"/>
      <x:c r="E24" s="2"/>
      <x:c r="F24" s="2"/>
      <x:c r="G24" s="2"/>
      <x:c r="H24" s="2"/>
      <x:c r="I24" s="2"/>
      <x:c r="J24" s="2"/>
    </x:row>
    <x:row r="25" ht="21" customHeight="1">
      <x:c r="A25" s="2"/>
      <x:c r="B25" s="2"/>
      <x:c r="C25" s="2" t="str">
        <x:v>supported fleet capacity without implying legal hours-of-service permission.</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Receivables use current monthly billings times entered days divided by calendar days.</x:v>
      </x:c>
      <x:c r="D27" s="2"/>
      <x:c r="E27" s="2"/>
      <x:c r="F27" s="2"/>
      <x:c r="G27" s="2"/>
      <x:c r="H27" s="2"/>
      <x:c r="I27" s="2"/>
      <x:c r="J27" s="2"/>
    </x:row>
    <x:row r="28" ht="21" customHeight="1">
      <x:c r="A28" s="2"/>
      <x:c r="B28" s="2"/>
      <x:c r="C28" s="2" t="str">
        <x:v>Collections equal sales less the signed receivable change; no separate AR deduction is</x:v>
      </x:c>
      <x:c r="D28" s="2"/>
      <x:c r="E28" s="2"/>
      <x:c r="F28" s="2"/>
      <x:c r="G28" s="2"/>
      <x:c r="H28" s="2"/>
      <x:c r="I28" s="2"/>
      <x:c r="J28" s="2"/>
    </x:row>
    <x:row r="29" ht="21" customHeight="1">
      <x:c r="A29" s="2"/>
      <x:c r="B29" s="2"/>
      <x:c r="C29" s="2" t="str">
        <x:v>taken. A negative result flags a cash need in this simplified proxy.</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Other business debt includes fleet debt not included in operating inputs. Fleet</x:v>
      </x:c>
      <x:c r="D31" s="2"/>
      <x:c r="E31" s="2"/>
      <x:c r="F31" s="2"/>
      <x:c r="G31" s="2"/>
      <x:c r="H31" s="2"/>
      <x:c r="I31" s="2"/>
      <x:c r="J31" s="2"/>
    </x:row>
    <x:row r="32" ht="21" customHeight="1">
      <x:c r="A32" s="2"/>
      <x:c r="B32" s="2"/>
      <x:c r="C32" s="2" t="str">
        <x:v>maintenance is in maintenance capital or other operating costs, never both; additional</x:v>
      </x:c>
      <x:c r="D32" s="2"/>
      <x:c r="E32" s="2"/>
      <x:c r="F32" s="2"/>
      <x:c r="G32" s="2"/>
      <x:c r="H32" s="2"/>
      <x:c r="I32" s="2"/>
      <x:c r="J32" s="2"/>
    </x:row>
    <x:row r="33" ht="21" customHeight="1">
      <x:c r="A33" s="2"/>
      <x:c r="B33" s="2"/>
      <x:c r="C33" s="2" t="str">
        <x:v>fleet/terminal purchases are expansion capital.</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Combined cash is an operating-business and property measure, not property NOI. Other</x:v>
      </x:c>
      <x:c r="D35" s="2"/>
      <x:c r="E35" s="2"/>
      <x:c r="F35" s="2"/>
      <x:c r="G35" s="2"/>
      <x:c r="H35" s="2"/>
      <x:c r="I35" s="2"/>
      <x:c r="J35" s="2"/>
    </x:row>
    <x:row r="36" ht="21" customHeight="1">
      <x:c r="A36" s="2"/>
      <x:c r="B36" s="2"/>
      <x:c r="C36" s="2" t="str">
        <x:v>business debt, taxes/distributions and maintenance capital are deducted once before the</x:v>
      </x:c>
      <x:c r="D36" s="2"/>
      <x:c r="E36" s="2"/>
      <x:c r="F36" s="2"/>
      <x:c r="G36" s="2"/>
      <x:c r="H36" s="2"/>
      <x:c r="I36" s="2"/>
      <x:c r="J36" s="2"/>
    </x:row>
    <x:row r="37" ht="21" customHeight="1">
      <x:c r="A37" s="2"/>
      <x:c r="B37" s="2"/>
      <x:c r="C37" s="2" t="str">
        <x:v>residual property-debt proxy.</x:v>
      </x:c>
      <x:c r="D37" s="2"/>
      <x:c r="E37" s="2"/>
      <x:c r="F37" s="2"/>
      <x:c r="G37" s="2"/>
      <x:c r="H37" s="2"/>
      <x:c r="I37" s="2"/>
      <x:c r="J37" s="2"/>
    </x:row>
    <x:row r="38" ht="21" customHeight="1">
      <x:c r="A38" s="2"/>
      <x:c r="B38" s="2"/>
      <x:c r="C38" s="2"/>
      <x:c r="D38" s="2"/>
      <x:c r="E38" s="2"/>
      <x:c r="F38" s="2"/>
      <x:c r="G38" s="2"/>
      <x:c r="H38" s="2"/>
      <x:c r="I38" s="2"/>
      <x:c r="J38" s="2"/>
    </x:row>
    <x:row r="39" ht="21" customHeight="1">
      <x:c r="A39" s="2"/>
      <x:c r="B39" s="2"/>
      <x:c r="C39" s="2" t="str">
        <x:v>Value and acquisition price refer only to the real estate. LTV never applies to</x:v>
      </x:c>
      <x:c r="D39" s="2"/>
      <x:c r="E39" s="2"/>
      <x:c r="F39" s="2"/>
      <x:c r="G39" s="2"/>
      <x:c r="H39" s="2"/>
      <x:c r="I39" s="2"/>
      <x:c r="J39" s="2"/>
    </x:row>
    <x:row r="40" ht="21" customHeight="1">
      <x:c r="A40" s="2"/>
      <x:c r="B40" s="2"/>
      <x:c r="C40" s="2" t="str">
        <x:v>enterprise value, goodwill, inventory or equipment. The modeled loan is property debt</x:v>
      </x:c>
      <x:c r="D40" s="2"/>
      <x:c r="E40" s="2"/>
      <x:c r="F40" s="2"/>
      <x:c r="G40" s="2"/>
      <x:c r="H40" s="2"/>
      <x:c r="I40" s="2"/>
      <x:c r="J40" s="2"/>
    </x:row>
    <x:row r="41" ht="21" customHeight="1">
      <x:c r="A41" s="2"/>
      <x:c r="B41" s="2"/>
      <x:c r="C41" s="2" t="str">
        <x:v>supported by residual combined cash, not a business-acquisition valuation or program</x:v>
      </x:c>
      <x:c r="D41" s="2"/>
      <x:c r="E41" s="2"/>
      <x:c r="F41" s="2"/>
      <x:c r="G41" s="2"/>
      <x:c r="H41" s="2"/>
      <x:c r="I41" s="2"/>
      <x:c r="J41" s="2"/>
    </x:row>
    <x:row r="42" ht="21" customHeight="1">
      <x:c r="A42" s="2"/>
      <x:c r="B42" s="2"/>
      <x:c r="C42" s="2" t="str">
        <x:v>eligibility test.</x:v>
      </x:c>
      <x:c r="D42" s="2"/>
      <x:c r="E42" s="2"/>
      <x:c r="F42" s="2"/>
      <x:c r="G42" s="2"/>
      <x:c r="H42" s="2"/>
      <x:c r="I42" s="2"/>
      <x:c r="J42" s="2"/>
    </x:row>
    <x:row r="43" ht="21" customHeight="1">
      <x:c r="A43" s="2"/>
      <x:c r="B43" s="2"/>
      <x:c r="C43" s="2"/>
      <x:c r="D43" s="2"/>
      <x:c r="E43" s="2"/>
      <x:c r="F43" s="2"/>
      <x:c r="G43" s="2"/>
      <x:c r="H43" s="2"/>
      <x:c r="I43" s="2"/>
      <x:c r="J43" s="2"/>
    </x:row>
    <x:row r="44" ht="21" customHeight="1">
      <x:c r="A44" s="2"/>
      <x:c r="B44" s="2"/>
      <x:c r="C44" s="2" t="str">
        <x:v>Business purchases, equipment purchases at closing and goodwill are excluded from the</x:v>
      </x:c>
      <x:c r="D44" s="2"/>
      <x:c r="E44" s="2"/>
      <x:c r="F44" s="2"/>
      <x:c r="G44" s="2"/>
      <x:c r="H44" s="2"/>
      <x:c r="I44" s="2"/>
      <x:c r="J44" s="2"/>
    </x:row>
    <x:row r="45" ht="21" customHeight="1">
      <x:c r="A45" s="2"/>
      <x:c r="B45" s="2"/>
      <x:c r="C45" s="2" t="str">
        <x:v>example acquisition uses. Reconcile their separate funding and resulting debt</x:v>
      </x:c>
      <x:c r="D45" s="2"/>
      <x:c r="E45" s="2"/>
      <x:c r="F45" s="2"/>
      <x:c r="G45" s="2"/>
      <x:c r="H45" s="2"/>
      <x:c r="I45" s="2"/>
      <x:c r="J45" s="2"/>
    </x:row>
    <x:row r="46" ht="21" customHeight="1">
      <x:c r="A46" s="2"/>
      <x:c r="B46" s="2"/>
      <x:c r="C46" s="2" t="str">
        <x:v>obligations before relying on the property-only equity gap. Include additional</x:v>
      </x:c>
      <x:c r="D46" s="2"/>
      <x:c r="E46" s="2"/>
      <x:c r="F46" s="2"/>
      <x:c r="G46" s="2"/>
      <x:c r="H46" s="2"/>
      <x:c r="I46" s="2"/>
      <x:c r="J46" s="2"/>
    </x:row>
    <x:row r="47" ht="21" customHeight="1">
      <x:c r="A47" s="2"/>
      <x:c r="B47" s="2"/>
      <x:c r="C47" s="2" t="str">
        <x:v>post-closing equipment or expansion cash in the capital schedule once.</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Related-party rent is shown and eliminated. External property costs exclude mortgage</x:v>
      </x:c>
      <x:c r="D49" s="2"/>
      <x:c r="E49" s="2"/>
      <x:c r="F49" s="2"/>
      <x:c r="G49" s="2"/>
      <x:c r="H49" s="2"/>
      <x:c r="I49" s="2"/>
      <x:c r="J49" s="2"/>
    </x:row>
    <x:row r="50" ht="21" customHeight="1">
      <x:c r="A50" s="2"/>
      <x:c r="B50" s="2"/>
      <x:c r="C50" s="2" t="str">
        <x:v>debt and must not also appear in business operating inputs. No intercompany transfer</x:v>
      </x:c>
      <x:c r="D50" s="2"/>
      <x:c r="E50" s="2"/>
      <x:c r="F50" s="2"/>
      <x:c r="G50" s="2"/>
      <x:c r="H50" s="2"/>
      <x:c r="I50" s="2"/>
      <x:c r="J50" s="2"/>
    </x:row>
    <x:row r="51" ht="21" customHeight="1">
      <x:c r="A51" s="2"/>
      <x:c r="B51" s="2"/>
      <x:c r="C51" s="2" t="str">
        <x:v>permission is established.</x:v>
      </x:c>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t="str">
        <x:v>Maintenance capital is deducted before sizing. Additional expansion/property capital is</x:v>
      </x:c>
      <x:c r="D53" s="2"/>
      <x:c r="E53" s="2"/>
      <x:c r="F53" s="2"/>
      <x:c r="G53" s="2"/>
      <x:c r="H53" s="2"/>
      <x:c r="I53" s="2"/>
      <x:c r="J53" s="2"/>
    </x:row>
    <x:row r="54" ht="21" customHeight="1">
      <x:c r="A54" s="2"/>
      <x:c r="B54" s="2"/>
      <x:c r="C54" s="2" t="str">
        <x:v>deducted below residual cash. Do not enter the same cost in both places.</x:v>
      </x:c>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t="str">
        <x:v>All amounts are fictional. Residual coverage, value and cash tests do not establish bank</x:v>
      </x:c>
      <x:c r="D56" s="2"/>
      <x:c r="E56" s="2"/>
      <x:c r="F56" s="2"/>
      <x:c r="G56" s="2"/>
      <x:c r="H56" s="2"/>
      <x:c r="I56" s="2"/>
      <x:c r="J56" s="2"/>
    </x:row>
    <x:row r="57" ht="21" customHeight="1">
      <x:c r="A57" s="2"/>
      <x:c r="B57" s="2"/>
      <x:c r="C57" s="2" t="str">
        <x:v>DSCR, program eligibility, business value or a loan commitment.</x:v>
      </x:c>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t="str">
        <x:v>Published by Jaken Finance Group. 833-264-7776 | info@jakenfinancegroup.com.</x:v>
      </x:c>
      <x:c r="D59" s="2"/>
      <x:c r="E59" s="2"/>
      <x:c r="F59" s="2"/>
      <x:c r="G59" s="2"/>
      <x:c r="H59" s="2"/>
      <x:c r="I59" s="2"/>
      <x:c r="J59" s="2"/>
    </x:row>
    <x:row r="60" ht="21" customHeight="1">
      <x:c r="A60" s="2"/>
      <x:c r="B60" s="2"/>
      <x:c r="C60" s="2"/>
      <x:c r="D60" s="2"/>
      <x:c r="E60" s="2"/>
      <x:c r="F60" s="2"/>
      <x:c r="G60" s="2"/>
      <x:c r="H60" s="2"/>
      <x:c r="I60" s="2"/>
      <x:c r="J60" s="2"/>
    </x:row>
    <x:row r="61">
      <x:c r="C61" s="72" t="str">
        <x:v>Every numerical assumption is illustrative. No current market quote, legal conclusion or</x:v>
      </x:c>
    </x:row>
    <x:row r="62">
      <x:c r="C62" s="72" t="str">
        <x:v>lender eligibility is represented.</x:v>
      </x:c>
    </x:row>
    <x:row r="63">
      <x:c r="C63" s="72"/>
    </x:row>
    <x:row r="64">
      <x:c r="C64" s="72" t="str">
        <x:v>NCF is a modeled cash measure after cash reserve deposits. An actual lender may adjust</x:v>
      </x:c>
    </x:row>
    <x:row r="65">
      <x:c r="C65" s="72" t="str">
        <x:v>income, expenses, reserves, tax and business cash differently.</x:v>
      </x:c>
    </x:row>
    <x:row r="66">
      <x:c r="C66" s="72"/>
    </x:row>
    <x:row r="67">
      <x:c r="C67" s="72" t="str">
        <x:v>No tax return, appraisal, legal compliance, guaranty capacity or refinancing approval is</x:v>
      </x:c>
    </x:row>
    <x:row r="68">
      <x:c r="C68" s="72" t="str">
        <x:v>established by the calculations.</x:v>
      </x:c>
    </x:row>
    <x:row r="69">
      <x:c r="C69" s="72"/>
    </x:row>
    <x:row r="70">
      <x:c r="C70" s="72" t="str">
        <x:v>Calculation methods and conventions are shown here. Check Review and replace</x:v>
      </x:c>
    </x:row>
    <x:row r="71">
      <x:c r="C71" s="72" t="str">
        <x:v>illustrative inputs before relying on results.</x:v>
      </x:c>
    </x:row>
    <x:row r="72">
      <x:c r="C72" s="72"/>
    </x:row>
    <x:row r="73">
      <x:c r="C73" s="72"/>
    </x:row>
    <x:row r="74">
      <x:c r="C74" s="72"/>
    </x:row>
  </x:sheetData>
  <x:conditionalFormatting sqref="D10:D16">
    <x:cfRule type="expression" dxfId="5" priority="1">
      <x:formula>ABS(D10)&gt;0.01</x:formula>
    </x:cfRule>
  </x:conditionalFormatting>
  <x:pageMargins left="0.7" right="0.7" top="0.75" bottom="0.75" header="0.3" footer="0.3"/>
</x:worksheet>
</file>