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c8b1ef264ba42a3" /></Relationships>
</file>

<file path=xl/workbook.xml><?xml version="1.0" encoding="utf-8"?>
<x:workbook xmlns:x="http://schemas.openxmlformats.org/spreadsheetml/2006/main">
  <x:sheets>
    <x:sheet xmlns:r="http://schemas.openxmlformats.org/officeDocument/2006/relationships" name="Summary" sheetId="1" r:id="Ra7e298ffcff34771"/>
    <x:sheet xmlns:r="http://schemas.openxmlformats.org/officeDocument/2006/relationships" name="Assumptions" sheetId="2" r:id="Rd23043571ec645d6"/>
    <x:sheet xmlns:r="http://schemas.openxmlformats.org/officeDocument/2006/relationships" name="Veterinary Services" sheetId="3" r:id="R5c0d4cb0d4364e23"/>
    <x:sheet xmlns:r="http://schemas.openxmlformats.org/officeDocument/2006/relationships" name="Operations" sheetId="4" r:id="Rdb7fdb2ac82d4ee8"/>
    <x:sheet xmlns:r="http://schemas.openxmlformats.org/officeDocument/2006/relationships" name="Debt and Funding" sheetId="5" r:id="R862d9915c68040ec"/>
    <x:sheet xmlns:r="http://schemas.openxmlformats.org/officeDocument/2006/relationships" name="Review" sheetId="6" r:id="R046f25184fcc40e9"/>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89f3eca46af47fa" /><Relationship Type="http://schemas.openxmlformats.org/officeDocument/2006/relationships/theme" Target="/xl/theme/theme1.xml" Id="R1d58d49524634468" /><Relationship Type="http://schemas.openxmlformats.org/officeDocument/2006/relationships/sharedStrings" Target="/xl/sharedStrings.xml" Id="R898525f1f0ad4a6a" /><Relationship Type="http://schemas.openxmlformats.org/officeDocument/2006/relationships/worksheet" Target="/xl/worksheets/sheet1.xml" Id="Ra7e298ffcff34771" /><Relationship Type="http://schemas.openxmlformats.org/officeDocument/2006/relationships/worksheet" Target="/xl/worksheets/sheet2.xml" Id="Rd23043571ec645d6" /><Relationship Type="http://schemas.openxmlformats.org/officeDocument/2006/relationships/worksheet" Target="/xl/worksheets/sheet3.xml" Id="R5c0d4cb0d4364e23" /><Relationship Type="http://schemas.openxmlformats.org/officeDocument/2006/relationships/worksheet" Target="/xl/worksheets/sheet4.xml" Id="Rdb7fdb2ac82d4ee8" /><Relationship Type="http://schemas.openxmlformats.org/officeDocument/2006/relationships/worksheet" Target="/xl/worksheets/sheet5.xml" Id="R862d9915c68040ec" /><Relationship Type="http://schemas.openxmlformats.org/officeDocument/2006/relationships/worksheet" Target="/xl/worksheets/sheet6.xml" Id="R046f25184fcc40e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Veterinary clinic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'Operations'!E18</x:f>
        <x:v>1806924</x:v>
      </x:c>
      <x:c r="E10" s="2"/>
      <x:c r="F10" s="2"/>
      <x:c r="G10" s="68" t="n">
        <x:f>'Operations'!G9</x:f>
        <x:v>46388</x:v>
      </x:c>
      <x:c r="H10" s="69" t="n">
        <x:f>'Debt and Funding'!G36</x:f>
        <x:v>30612.833333333336</x:v>
      </x:c>
      <x:c r="I10" s="69" t="n">
        <x:f>'Debt and Funding'!G37</x:f>
        <x:v>180612.83333333334</x:v>
      </x:c>
      <x:c r="J10" s="69" t="n">
        <x:f>'Debt and Funding'!G33</x:f>
        <x:v>1690000</x:v>
      </x:c>
      <x:c r="K10" s="2"/>
      <x:c r="L10" s="2"/>
    </x:row>
    <x:row r="11" ht="21" customHeight="1">
      <x:c r="A11" s="2"/>
      <x:c r="B11" s="2"/>
      <x:c r="C11" s="2" t="str">
        <x:v>Operating and other cash obligations</x:v>
      </x:c>
      <x:c r="D11" s="50" t="n">
        <x:f>'Operations'!E26</x:f>
        <x:v>1329720</x:v>
      </x:c>
      <x:c r="E11" s="2"/>
      <x:c r="F11" s="2"/>
      <x:c r="G11" s="68" t="n">
        <x:f>'Operations'!H9</x:f>
        <x:v>46419</x:v>
      </x:c>
      <x:c r="H11" s="69" t="n">
        <x:f>'Debt and Funding'!H36</x:f>
        <x:v>30612.833333333336</x:v>
      </x:c>
      <x:c r="I11" s="69" t="n">
        <x:f>'Debt and Funding'!H37</x:f>
        <x:v>211225.6666666667</x:v>
      </x:c>
      <x:c r="J11" s="69" t="n">
        <x:f>'Debt and Funding'!H33</x:f>
        <x:v>1690000</x:v>
      </x:c>
      <x:c r="K11" s="2"/>
      <x:c r="L11" s="2"/>
    </x:row>
    <x:row r="12" ht="21" customHeight="1">
      <x:c r="A12" s="2"/>
      <x:c r="B12" s="2"/>
      <x:c r="C12" s="2" t="str">
        <x:v>Combined cash after business obligations</x:v>
      </x:c>
      <x:c r="D12" s="50" t="n">
        <x:f>'Operations'!E27</x:f>
        <x:v>477204</x:v>
      </x:c>
      <x:c r="E12" s="2"/>
      <x:c r="F12" s="2"/>
      <x:c r="G12" s="68" t="n">
        <x:f>'Operations'!I9</x:f>
        <x:v>46447</x:v>
      </x:c>
      <x:c r="H12" s="69" t="n">
        <x:f>'Debt and Funding'!I36</x:f>
        <x:v>30612.833333333336</x:v>
      </x:c>
      <x:c r="I12" s="69" t="n">
        <x:f>'Debt and Funding'!I37</x:f>
        <x:v>241838.50000000003</x:v>
      </x:c>
      <x:c r="J12" s="69" t="n">
        <x:f>'Debt and Funding'!I33</x:f>
        <x:v>1690000</x:v>
      </x:c>
      <x:c r="K12" s="2"/>
      <x:c r="L12" s="2"/>
    </x:row>
    <x:row r="13" ht="21" customHeight="1">
      <x:c r="A13" s="2"/>
      <x:c r="B13" s="2"/>
      <x:c r="C13" s="2" t="str">
        <x:v>Annual reserve deposits</x:v>
      </x:c>
      <x:c r="D13" s="50" t="n">
        <x:f>'Operations'!E28</x:f>
        <x:v>0</x:v>
      </x:c>
      <x:c r="E13" s="2"/>
      <x:c r="F13" s="2"/>
      <x:c r="G13" s="68" t="n">
        <x:f>'Operations'!J9</x:f>
        <x:v>46478</x:v>
      </x:c>
      <x:c r="H13" s="69" t="n">
        <x:f>'Debt and Funding'!J36</x:f>
        <x:v>30612.833333333336</x:v>
      </x:c>
      <x:c r="I13" s="69" t="n">
        <x:f>'Debt and Funding'!J37</x:f>
        <x:v>272451.3333333334</x:v>
      </x:c>
      <x:c r="J13" s="69" t="n">
        <x:f>'Debt and Funding'!J33</x:f>
        <x:v>1690000</x:v>
      </x:c>
      <x:c r="K13" s="2"/>
      <x:c r="L13" s="2"/>
    </x:row>
    <x:row r="14" ht="21" customHeight="1">
      <x:c r="A14" s="2"/>
      <x:c r="B14" s="2"/>
      <x:c r="C14" s="2" t="str">
        <x:v>Cash NCF before debt and capital</x:v>
      </x:c>
      <x:c r="D14" s="50" t="n">
        <x:f>'Operations'!E29</x:f>
        <x:v>477204</x:v>
      </x:c>
      <x:c r="E14" s="2"/>
      <x:c r="F14" s="2"/>
      <x:c r="G14" s="68" t="n">
        <x:f>'Operations'!K9</x:f>
        <x:v>46508</x:v>
      </x:c>
      <x:c r="H14" s="69" t="n">
        <x:f>'Debt and Funding'!K36</x:f>
        <x:v>30612.833333333336</x:v>
      </x:c>
      <x:c r="I14" s="69" t="n">
        <x:f>'Debt and Funding'!K37</x:f>
        <x:v>303064.1666666667</x:v>
      </x:c>
      <x:c r="J14" s="69" t="n">
        <x:f>'Debt and Funding'!K33</x:f>
        <x:v>1690000</x:v>
      </x:c>
      <x:c r="K14" s="2"/>
      <x:c r="L14" s="2"/>
    </x:row>
    <x:row r="15" ht="21" customHeight="1">
      <x:c r="A15" s="2"/>
      <x:c r="B15" s="2"/>
      <x:c r="C15" s="2" t="str">
        <x:v>Residual cash used for sizing</x:v>
      </x:c>
      <x:c r="D15" s="50" t="n">
        <x:f>'Debt and Funding'!D9</x:f>
        <x:v>477204</x:v>
      </x:c>
      <x:c r="E15" s="2"/>
      <x:c r="F15" s="2"/>
      <x:c r="G15" s="68" t="n">
        <x:f>'Operations'!L9</x:f>
        <x:v>46539</x:v>
      </x:c>
      <x:c r="H15" s="69" t="n">
        <x:f>'Debt and Funding'!L36</x:f>
        <x:v>30612.833333333336</x:v>
      </x:c>
      <x:c r="I15" s="69" t="n">
        <x:f>'Debt and Funding'!L37</x:f>
        <x:v>333677</x:v>
      </x:c>
      <x:c r="J15" s="69" t="n">
        <x:f>'Debt and Funding'!L33</x:f>
        <x:v>1690000</x:v>
      </x:c>
      <x:c r="K15" s="2"/>
      <x:c r="L15" s="2"/>
    </x:row>
    <x:row r="16" ht="21" customHeight="1">
      <x:c r="A16" s="2"/>
      <x:c r="B16" s="2"/>
      <x:c r="C16" s="2" t="str">
        <x:v>DSCR loan capacity</x:v>
      </x:c>
      <x:c r="D16" s="50" t="n">
        <x:f>'Debt and Funding'!D11</x:f>
        <x:v>4711679.884511805</x:v>
      </x:c>
      <x:c r="E16" s="2"/>
      <x:c r="F16" s="2"/>
      <x:c r="G16" s="68" t="n">
        <x:f>'Operations'!M9</x:f>
        <x:v>46569</x:v>
      </x:c>
      <x:c r="H16" s="69" t="n">
        <x:f>'Debt and Funding'!M36</x:f>
        <x:v>-41644.00102677514</x:v>
      </x:c>
      <x:c r="I16" s="69" t="n">
        <x:f>'Debt and Funding'!M37</x:f>
        <x:v>292032.99897322484</x:v>
      </x:c>
      <x:c r="J16" s="69" t="n">
        <x:f>'Debt and Funding'!M33</x:f>
        <x:v>1687743.1656398915</x:v>
      </x:c>
      <x:c r="K16" s="2"/>
      <x:c r="L16" s="2"/>
    </x:row>
    <x:row r="17" ht="21" customHeight="1">
      <x:c r="A17" s="2"/>
      <x:c r="B17" s="2"/>
      <x:c r="C17" s="2" t="str">
        <x:v>LTV loan capacity</x:v>
      </x:c>
      <x:c r="D17" s="50" t="n">
        <x:f>'Debt and Funding'!D12</x:f>
        <x:v>1690000</x:v>
      </x:c>
      <x:c r="E17" s="2"/>
      <x:c r="F17" s="2"/>
      <x:c r="G17" s="68" t="n">
        <x:f>'Operations'!N9</x:f>
        <x:v>46600</x:v>
      </x:c>
      <x:c r="H17" s="69" t="n">
        <x:f>'Debt and Funding'!N36</x:f>
        <x:v>28355.998973224858</x:v>
      </x:c>
      <x:c r="I17" s="69" t="n">
        <x:f>'Debt and Funding'!N37</x:f>
        <x:v>320388.9979464497</x:v>
      </x:c>
      <x:c r="J17" s="69" t="n">
        <x:f>'Debt and Funding'!N33</x:f>
        <x:v>1685474.1067603324</x:v>
      </x:c>
      <x:c r="K17" s="2"/>
      <x:c r="L17" s="2"/>
    </x:row>
    <x:row r="18" ht="21" customHeight="1">
      <x:c r="A18" s="2"/>
      <x:c r="B18" s="2"/>
      <x:c r="C18" s="2" t="str">
        <x:v>Debt-yield loan capacity</x:v>
      </x:c>
      <x:c r="D18" s="50" t="n">
        <x:f>'Debt and Funding'!D13</x:f>
        <x:v>5302266.666666667</x:v>
      </x:c>
      <x:c r="E18" s="2"/>
      <x:c r="F18" s="2"/>
      <x:c r="G18" s="68" t="n">
        <x:f>'Operations'!O9</x:f>
        <x:v>46631</x:v>
      </x:c>
      <x:c r="H18" s="69" t="n">
        <x:f>'Debt and Funding'!O36</x:f>
        <x:v>28355.998973224858</x:v>
      </x:c>
      <x:c r="I18" s="69" t="n">
        <x:f>'Debt and Funding'!O37</x:f>
        <x:v>348744.9969196745</x:v>
      </x:c>
      <x:c r="J18" s="69" t="n">
        <x:f>'Debt and Funding'!O33</x:f>
        <x:v>1683192.7571451757</x:v>
      </x:c>
      <x:c r="K18" s="2"/>
      <x:c r="L18" s="2"/>
    </x:row>
    <x:row r="19" ht="21" customHeight="1">
      <x:c r="A19" s="2"/>
      <x:c r="B19" s="2"/>
      <x:c r="C19" s="56" t="str">
        <x:v>Sized loan</x:v>
      </x:c>
      <x:c r="D19" s="65" t="n">
        <x:f>'Debt and Funding'!D14</x:f>
        <x:v>1690000</x:v>
      </x:c>
      <x:c r="E19" s="2"/>
      <x:c r="F19" s="2"/>
      <x:c r="G19" s="68" t="n">
        <x:f>'Operations'!P9</x:f>
        <x:v>46661</x:v>
      </x:c>
      <x:c r="H19" s="69" t="n">
        <x:f>'Debt and Funding'!P36</x:f>
        <x:v>28355.998973224858</x:v>
      </x:c>
      <x:c r="I19" s="69" t="n">
        <x:f>'Debt and Funding'!P37</x:f>
        <x:v>377100.99589289934</x:v>
      </x:c>
      <x:c r="J19" s="69" t="n">
        <x:f>'Debt and Funding'!P33</x:f>
        <x:v>1680899.0502196036</x:v>
      </x:c>
      <x:c r="K19" s="2"/>
      <x:c r="L19" s="2"/>
    </x:row>
    <x:row r="20" ht="21" customHeight="1">
      <x:c r="A20" s="2"/>
      <x:c r="B20" s="2"/>
      <x:c r="C20" s="2" t="str">
        <x:v>Binding constraint (ties may exist)</x:v>
      </x:c>
      <x:c r="D20" s="66" t="str">
        <x:f>'Debt and Funding'!D15</x:f>
        <x:v>LTV</x:v>
      </x:c>
      <x:c r="E20" s="2"/>
      <x:c r="F20" s="2"/>
      <x:c r="G20" s="68" t="n">
        <x:f>'Operations'!Q9</x:f>
        <x:v>46692</x:v>
      </x:c>
      <x:c r="H20" s="69" t="n">
        <x:f>'Debt and Funding'!Q36</x:f>
        <x:v>28355.998973224858</x:v>
      </x:c>
      <x:c r="I20" s="69" t="n">
        <x:f>'Debt and Funding'!Q37</x:f>
        <x:v>405456.9948661242</x:v>
      </x:c>
      <x:c r="J20" s="69" t="n">
        <x:f>'Debt and Funding'!Q33</x:f>
        <x:v>1678592.9190481845</x:v>
      </x:c>
      <x:c r="K20" s="2"/>
      <x:c r="L20" s="2"/>
    </x:row>
    <x:row r="21" ht="21" customHeight="1">
      <x:c r="A21" s="2"/>
      <x:c r="B21" s="2"/>
      <x:c r="C21" s="2" t="str">
        <x:v>First-year debt service</x:v>
      </x:c>
      <x:c r="D21" s="50" t="n">
        <x:f>'Debt and Funding'!D43</x:f>
        <x:v>123391.00616065088</x:v>
      </x:c>
      <x:c r="E21" s="2"/>
      <x:c r="F21" s="2"/>
      <x:c r="G21" s="68" t="n">
        <x:f>'Operations'!R9</x:f>
        <x:v>46722</x:v>
      </x:c>
      <x:c r="H21" s="69" t="n">
        <x:f>'Debt and Funding'!R36</x:f>
        <x:v>28355.998973224858</x:v>
      </x:c>
      <x:c r="I21" s="69" t="n">
        <x:f>'Debt and Funding'!R37</x:f>
        <x:v>433812.993839349</x:v>
      </x:c>
      <x:c r="J21" s="69" t="n">
        <x:f>'Debt and Funding'!R33</x:f>
        <x:v>1676274.2963329204</x:v>
      </x:c>
      <x:c r="K21" s="2"/>
      <x:c r="L21" s="2"/>
    </x:row>
    <x:row r="22" ht="21" customHeight="1">
      <x:c r="A22" s="2"/>
      <x:c r="B22" s="2"/>
      <x:c r="C22" s="2" t="str">
        <x:v>Residual cash / property debt service</x:v>
      </x:c>
      <x:c r="D22" s="67" t="n">
        <x:f>'Debt and Funding'!D44</x:f>
        <x:v>3.867413151479587</x:v>
      </x:c>
      <x:c r="E22" s="2"/>
      <x:c r="F22" s="2"/>
      <x:c r="G22" s="2"/>
      <x:c r="H22" s="2"/>
      <x:c r="I22" s="2"/>
      <x:c r="J22" s="2"/>
      <x:c r="K22" s="2"/>
      <x:c r="L22" s="2"/>
    </x:row>
    <x:row r="23" ht="21" customHeight="1">
      <x:c r="A23" s="2"/>
      <x:c r="B23" s="2"/>
      <x:c r="C23" s="2" t="str">
        <x:v>Signed closing equity requirement</x:v>
      </x:c>
      <x:c r="D23" s="50" t="n">
        <x:f>'Debt and Funding'!D18</x:f>
        <x:v>980000</x:v>
      </x:c>
      <x:c r="E23" s="2"/>
      <x:c r="F23" s="2"/>
      <x:c r="G23" s="2"/>
      <x:c r="H23" s="2"/>
      <x:c r="I23" s="2"/>
      <x:c r="J23" s="2"/>
      <x:c r="K23" s="2"/>
      <x:c r="L23" s="2"/>
    </x:row>
    <x:row r="24" ht="21" customHeight="1">
      <x:c r="A24" s="2"/>
      <x:c r="B24" s="2"/>
      <x:c r="C24" s="2" t="str">
        <x:v>Available equity less closing need</x:v>
      </x:c>
      <x:c r="D24" s="50" t="n">
        <x:f>'Debt and Funding'!D19</x:f>
        <x:v>220000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220000</x:v>
      </x:c>
      <x:c r="E26" s="2"/>
      <x:c r="F26" s="2"/>
      <x:c r="G26" s="2"/>
      <x:c r="H26" s="2"/>
      <x:c r="I26" s="2"/>
      <x:c r="J26" s="2"/>
      <x:c r="K26" s="2"/>
      <x:c r="L26" s="2"/>
    </x:row>
    <x:row r="27" ht="21" customHeight="1">
      <x:c r="A27" s="2"/>
      <x:c r="B27" s="2"/>
      <x:c r="C27" s="2" t="str">
        <x:v>Year-end principal</x:v>
      </x:c>
      <x:c r="D27" s="50" t="n">
        <x:f>'Debt and Funding'!D45</x:f>
        <x:v>1676274.2963329204</x:v>
      </x:c>
      <x:c r="E27" s="2"/>
      <x:c r="F27" s="2"/>
      <x:c r="G27" s="2" t="str">
        <x:v>Edit blue cells in Veterinary Services and Assumptions.</x:v>
      </x:c>
      <x:c r="H27" s="2"/>
      <x:c r="I27" s="2"/>
      <x:c r="J27" s="2"/>
      <x:c r="K27" s="2"/>
      <x:c r="L27" s="2"/>
    </x:row>
    <x:row r="28" ht="21" customHeight="1">
      <x:c r="A28" s="2"/>
      <x:c r="B28" s="2"/>
      <x:c r="C28" s="2" t="str">
        <x:v>Principal due at maturity</x:v>
      </x:c>
      <x:c r="D28" s="50" t="n">
        <x:f>'Debt and Funding'!D20</x:f>
        <x:v>1548875.3755689475</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2600000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2600000</x:v>
      </x:c>
      <x:c r="E11" s="2"/>
      <x:c r="F11" s="2"/>
      <x:c r="G11" s="2"/>
      <x:c r="H11" s="2"/>
      <x:c r="I11" s="2"/>
      <x:c r="J11" s="2"/>
    </x:row>
    <x:row r="12" ht="35" customHeight="1">
      <x:c r="A12" s="2"/>
      <x:c r="B12" s="2"/>
      <x:c r="C12" s="28" t="str">
        <x:v>Downside</x:v>
      </x:c>
      <x:c r="D12" s="27" t="n">
        <x:v>2200000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2400000</x:v>
      </x:c>
      <x:c r="E13" s="22" t="str">
        <x:v>USD</x:v>
      </x:c>
      <x:c r="F13" s="2"/>
      <x:c r="G13" s="2"/>
      <x:c r="H13" s="2"/>
      <x:c r="I13" s="2"/>
      <x:c r="J13" s="2"/>
    </x:row>
    <x:row r="14" ht="35" customHeight="1">
      <x:c r="A14" s="2"/>
      <x:c r="B14" s="2"/>
      <x:c r="C14" s="28" t="str">
        <x:v>Base</x:v>
      </x:c>
      <x:c r="D14" s="27" t="n">
        <x:v>2400000</x:v>
      </x:c>
      <x:c r="E14" s="2"/>
      <x:c r="F14" s="2"/>
      <x:c r="G14" s="42" t="str">
        <x:v>Downside inputs feed the same model. Change D5 to recalculate.</x:v>
      </x:c>
      <x:c r="H14" s="2"/>
      <x:c r="I14" s="2"/>
      <x:c r="J14" s="2"/>
    </x:row>
    <x:row r="15" ht="21" customHeight="1">
      <x:c r="A15" s="2"/>
      <x:c r="B15" s="2"/>
      <x:c r="C15" s="28" t="str">
        <x:v>Downside</x:v>
      </x:c>
      <x:c r="D15" s="27" t="n">
        <x:v>2400000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72000</x:v>
      </x:c>
      <x:c r="E16" s="22" t="str">
        <x:v>USD</x:v>
      </x:c>
      <x:c r="F16" s="2"/>
      <x:c r="G16" s="42" t="str">
        <x:v>NCF adjustment changes sizing only, not cash actually available.</x:v>
      </x:c>
      <x:c r="H16" s="2"/>
      <x:c r="I16" s="2"/>
      <x:c r="J16" s="2"/>
    </x:row>
    <x:row r="17" ht="21" customHeight="1">
      <x:c r="A17" s="2"/>
      <x:c r="B17" s="2"/>
      <x:c r="C17" s="28" t="str">
        <x:v>Base</x:v>
      </x:c>
      <x:c r="D17" s="27" t="n">
        <x:v>72000</x:v>
      </x:c>
      <x:c r="E17" s="2"/>
      <x:c r="F17" s="2"/>
      <x:c r="G17" s="2"/>
      <x:c r="H17" s="2"/>
      <x:c r="I17" s="2"/>
      <x:c r="J17" s="2"/>
    </x:row>
    <x:row r="18" ht="35" customHeight="1">
      <x:c r="A18" s="2"/>
      <x:c r="B18" s="2"/>
      <x:c r="C18" s="28" t="str">
        <x:v>Downside</x:v>
      </x:c>
      <x:c r="D18" s="27" t="n">
        <x:v>72000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48000</x:v>
      </x:c>
      <x:c r="E19" s="22" t="str">
        <x:v>USD</x:v>
      </x:c>
      <x:c r="F19" s="2"/>
      <x:c r="G19" s="2"/>
      <x:c r="H19" s="2"/>
      <x:c r="I19" s="2"/>
      <x:c r="J19" s="2"/>
    </x:row>
    <x:row r="20" ht="35" customHeight="1">
      <x:c r="A20" s="2"/>
      <x:c r="B20" s="2"/>
      <x:c r="C20" s="28" t="str">
        <x:v>Base</x:v>
      </x:c>
      <x:c r="D20" s="27" t="n">
        <x:v>48000</x:v>
      </x:c>
      <x:c r="E20" s="2"/>
      <x:c r="F20" s="2"/>
      <x:c r="G20" s="42" t="str">
        <x:v>Restricted closing reserves are not available operating cash.</x:v>
      </x:c>
      <x:c r="H20" s="2"/>
      <x:c r="I20" s="2"/>
      <x:c r="J20" s="2"/>
    </x:row>
    <x:row r="21" ht="21" customHeight="1">
      <x:c r="A21" s="2"/>
      <x:c r="B21" s="2"/>
      <x:c r="C21" s="28" t="str">
        <x:v>Downside</x:v>
      </x:c>
      <x:c r="D21" s="27" t="n">
        <x:v>48000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150000</x:v>
      </x:c>
      <x:c r="E22" s="22" t="str">
        <x:v>USD</x:v>
      </x:c>
      <x:c r="F22" s="2"/>
      <x:c r="G22" s="42" t="str">
        <x:v>Opening operating cash is funded in closing uses exactly once.</x:v>
      </x:c>
      <x:c r="H22" s="2"/>
      <x:c r="I22" s="2"/>
      <x:c r="J22" s="2"/>
    </x:row>
    <x:row r="23" ht="21" customHeight="1">
      <x:c r="A23" s="2"/>
      <x:c r="B23" s="2"/>
      <x:c r="C23" s="28" t="str">
        <x:v>Base</x:v>
      </x:c>
      <x:c r="D23" s="27" t="n">
        <x:v>150000</x:v>
      </x:c>
      <x:c r="E23" s="2"/>
      <x:c r="F23" s="2"/>
      <x:c r="G23" s="2"/>
      <x:c r="H23" s="2"/>
      <x:c r="I23" s="2"/>
      <x:c r="J23" s="2"/>
    </x:row>
    <x:row r="24" ht="35" customHeight="1">
      <x:c r="A24" s="2"/>
      <x:c r="B24" s="2"/>
      <x:c r="C24" s="28" t="str">
        <x:v>Downside</x:v>
      </x:c>
      <x:c r="D24" s="27" t="n">
        <x:v>150000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1200000</x:v>
      </x:c>
      <x:c r="E25" s="22" t="str">
        <x:v>USD</x:v>
      </x:c>
      <x:c r="F25" s="2"/>
      <x:c r="G25" s="2"/>
      <x:c r="H25" s="2"/>
      <x:c r="I25" s="2"/>
      <x:c r="J25" s="2"/>
    </x:row>
    <x:row r="26" ht="21" customHeight="1">
      <x:c r="A26" s="2"/>
      <x:c r="B26" s="2"/>
      <x:c r="C26" s="28" t="str">
        <x:v>Base</x:v>
      </x:c>
      <x:c r="D26" s="27" t="n">
        <x:v>1200000</x:v>
      </x:c>
      <x:c r="E26" s="2"/>
      <x:c r="F26" s="2"/>
      <x:c r="G26" s="2"/>
      <x:c r="H26" s="2"/>
      <x:c r="I26" s="2"/>
      <x:c r="J26" s="2"/>
    </x:row>
    <x:row r="27" ht="21" customHeight="1">
      <x:c r="A27" s="2"/>
      <x:c r="B27" s="2"/>
      <x:c r="C27" s="28" t="str">
        <x:v>Downside</x:v>
      </x:c>
      <x:c r="D27" s="27" t="n">
        <x:v>1200000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1700000</x:v>
      </x:c>
      <x:c r="E28" s="22" t="str">
        <x:v>USD</x:v>
      </x:c>
      <x:c r="F28" s="2"/>
      <x:c r="G28" s="2"/>
      <x:c r="H28" s="2"/>
      <x:c r="I28" s="2"/>
      <x:c r="J28" s="2"/>
    </x:row>
    <x:row r="29" ht="21" customHeight="1">
      <x:c r="A29" s="2"/>
      <x:c r="B29" s="2"/>
      <x:c r="C29" s="28" t="str">
        <x:v>Base</x:v>
      </x:c>
      <x:c r="D29" s="27" t="n">
        <x:v>1700000</x:v>
      </x:c>
      <x:c r="E29" s="2"/>
      <x:c r="F29" s="2"/>
      <x:c r="G29" s="2"/>
      <x:c r="H29" s="2"/>
      <x:c r="I29" s="2"/>
      <x:c r="J29" s="2"/>
    </x:row>
    <x:row r="30" ht="75" customHeight="1">
      <x:c r="A30" s="2"/>
      <x:c r="B30" s="2"/>
      <x:c r="C30" s="28" t="str">
        <x:v>Downside</x:v>
      </x:c>
      <x:c r="D30" s="27" t="n">
        <x:v>1700000</x:v>
      </x:c>
      <x:c r="E30" s="2"/>
      <x:c r="F30" s="2"/>
      <x:c r="G30" s="42" t="str">
        <x:v>Appointment, surgery and boarding revenue are mutually exclusive billings. Remove surgery fees from average appointment fees to avoid duplication. Surgery and boarding quantities require independently supported staffing/capacity.</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Realization is a same-month cash proxy; there is no receivables rollforward. Enter additional collections timing in a separate cash schedule where material. Payroll includes clinical providers and support staff.</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Combined cash is an operating-business and property measure, not property NOI. Other business debt, taxes/distributions and maintenance capital are deducted once before the residual property-debt proxy.</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Related-party rent is shown and eliminated. External property costs exclude mortgage debt and must not also appear in business operating inputs. No intercompany transfer permission is established.</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Maintenance capital is deducted before sizing. Additional expansion/property capital is deducted below residual cash. Do not enter the same cost in both places.</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All amounts are fictional. Residual coverage, value and cash tests do not establish bank DSCR, program eligibility, business value or a loan commitment.</x:v>
      </x:c>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31" t="str">
        <x:v>Same-month collection realization</x:v>
      </x:c>
      <x:c r="D88" s="32" t="n">
        <x:f>IF($D$5=1,IF(ISNUMBER(D89),IF(AND(D89&gt;=0,D89&lt;=1),D89,"n.a."),"n.a."),IF($D$5=2,IF(ISNUMBER(D90),IF(AND(D90&gt;=0,D90&lt;=1),D90,"n.a."),"n.a."),"n.a."))</x:f>
        <x:v>0.98</x:v>
      </x:c>
      <x:c r="E88" s="33" t="str">
        <x:v>%</x:v>
      </x:c>
      <x:c r="F88" s="2"/>
      <x:c r="G88" s="2"/>
      <x:c r="H88" s="2"/>
      <x:c r="I88" s="2"/>
      <x:c r="J88" s="2"/>
    </x:row>
    <x:row r="89" ht="21" customHeight="1">
      <x:c r="A89" s="2"/>
      <x:c r="B89" s="2"/>
      <x:c r="C89" s="34" t="str">
        <x:v>Base</x:v>
      </x:c>
      <x:c r="D89" s="35" t="n">
        <x:v>0.98</x:v>
      </x:c>
      <x:c r="E89" s="36"/>
      <x:c r="F89" s="2"/>
      <x:c r="G89" s="2"/>
      <x:c r="H89" s="2"/>
      <x:c r="I89" s="2"/>
      <x:c r="J89" s="2"/>
    </x:row>
    <x:row r="90" ht="21" customHeight="1">
      <x:c r="A90" s="2"/>
      <x:c r="B90" s="2"/>
      <x:c r="C90" s="34" t="str">
        <x:v>Downside</x:v>
      </x:c>
      <x:c r="D90" s="35" t="n">
        <x:v>0.93</x:v>
      </x:c>
      <x:c r="E90" s="36"/>
      <x:c r="F90" s="2"/>
      <x:c r="G90" s="2"/>
      <x:c r="H90" s="2"/>
      <x:c r="I90" s="2"/>
      <x:c r="J90" s="2"/>
    </x:row>
    <x:row r="91" ht="21" customHeight="1">
      <x:c r="A91" s="2"/>
      <x:c r="B91" s="2"/>
      <x:c r="C91" s="24" t="str">
        <x:v>Boarding cost / animal-night</x:v>
      </x:c>
      <x:c r="D91" s="26" t="n">
        <x:f>IF($D$5=1,IF(ISNUMBER(D92),IF(AND(D92&gt;=0,D92&lt;=1000000000000),D92,"n.a."),"n.a."),IF($D$5=2,IF(ISNUMBER(D93),IF(AND(D93&gt;=0,D93&lt;=1000000000000),D93,"n.a."),"n.a."),"n.a."))</x:f>
        <x:v>18</x:v>
      </x:c>
      <x:c r="E91" s="22" t="str">
        <x:v>USD</x:v>
      </x:c>
      <x:c r="F91" s="2"/>
      <x:c r="G91" s="2"/>
      <x:c r="H91" s="2"/>
      <x:c r="I91" s="2"/>
      <x:c r="J91" s="2"/>
    </x:row>
    <x:row r="92" ht="21" customHeight="1">
      <x:c r="A92" s="2"/>
      <x:c r="B92" s="2"/>
      <x:c r="C92" s="28" t="str">
        <x:v>Base</x:v>
      </x:c>
      <x:c r="D92" s="27" t="n">
        <x:v>18</x:v>
      </x:c>
      <x:c r="E92" s="2"/>
      <x:c r="F92" s="2"/>
      <x:c r="G92" s="2"/>
      <x:c r="H92" s="2"/>
      <x:c r="I92" s="2"/>
      <x:c r="J92" s="2"/>
    </x:row>
    <x:row r="93" ht="21" customHeight="1">
      <x:c r="A93" s="2"/>
      <x:c r="B93" s="2"/>
      <x:c r="C93" s="28" t="str">
        <x:v>Downside</x:v>
      </x:c>
      <x:c r="D93" s="27" t="n">
        <x:v>18</x:v>
      </x:c>
      <x:c r="E93" s="2"/>
      <x:c r="F93" s="2"/>
      <x:c r="G93" s="2"/>
      <x:c r="H93" s="2"/>
      <x:c r="I93" s="2"/>
      <x:c r="J93" s="2"/>
    </x:row>
    <x:row r="94" ht="21" customHeight="1">
      <x:c r="A94" s="2"/>
      <x:c r="B94" s="2"/>
      <x:c r="C94" s="24" t="str">
        <x:v>Monthly equipment service contracts</x:v>
      </x:c>
      <x:c r="D94" s="26" t="n">
        <x:f>IF($D$5=1,IF(ISNUMBER(D95),IF(AND(D95&gt;=0,D95&lt;=1000000000000),D95,"n.a."),"n.a."),IF($D$5=2,IF(ISNUMBER(D96),IF(AND(D96&gt;=0,D96&lt;=1000000000000),D96,"n.a."),"n.a."),"n.a."))</x:f>
        <x:v>3500</x:v>
      </x:c>
      <x:c r="E94" s="22" t="str">
        <x:v>USD</x:v>
      </x:c>
      <x:c r="F94" s="2"/>
      <x:c r="G94" s="2"/>
      <x:c r="H94" s="2"/>
      <x:c r="I94" s="2"/>
      <x:c r="J94" s="2"/>
    </x:row>
    <x:row r="95" ht="21" customHeight="1">
      <x:c r="A95" s="2"/>
      <x:c r="B95" s="2"/>
      <x:c r="C95" s="28" t="str">
        <x:v>Base</x:v>
      </x:c>
      <x:c r="D95" s="27" t="n">
        <x:v>3500</x:v>
      </x:c>
      <x:c r="E95" s="2"/>
      <x:c r="F95" s="2"/>
      <x:c r="G95" s="2"/>
      <x:c r="H95" s="2"/>
      <x:c r="I95" s="2"/>
      <x:c r="J95" s="2"/>
    </x:row>
    <x:row r="96" ht="21" customHeight="1">
      <x:c r="A96" s="2"/>
      <x:c r="B96" s="2"/>
      <x:c r="C96" s="28" t="str">
        <x:v>Downside</x:v>
      </x:c>
      <x:c r="D96" s="27" t="n">
        <x:v>3500</x:v>
      </x:c>
      <x:c r="E96" s="2"/>
      <x:c r="F96" s="2"/>
      <x:c r="G96" s="2"/>
      <x:c r="H96" s="2"/>
      <x:c r="I96" s="2"/>
      <x:c r="J96" s="2"/>
    </x:row>
    <x:row r="97" ht="21" customHeight="1">
      <x:c r="A97" s="2"/>
      <x:c r="B97" s="2"/>
      <x:c r="C97" s="2"/>
      <x:c r="D97" s="2"/>
      <x:c r="E97" s="2"/>
      <x:c r="F97" s="2"/>
      <x:c r="G97" s="2"/>
      <x:c r="H97" s="2"/>
      <x:c r="I97" s="2"/>
      <x:c r="J97" s="2"/>
    </x:row>
    <x:row r="98" ht="21" customHeight="1">
      <x:c r="A98" s="2"/>
      <x:c r="B98" s="2"/>
      <x:c r="C98" s="2"/>
      <x:c r="D98" s="2"/>
      <x:c r="E98" s="2"/>
      <x:c r="F98" s="2"/>
      <x:c r="G98" s="2"/>
      <x:c r="H98" s="2"/>
      <x:c r="I98" s="2"/>
      <x:c r="J98" s="2"/>
    </x:row>
    <x:row r="99" ht="21" customHeight="1">
      <x:c r="A99" s="2"/>
      <x:c r="B99" s="2"/>
      <x:c r="C99" s="2"/>
      <x:c r="D99" s="2"/>
      <x:c r="E99" s="2"/>
      <x:c r="F99" s="2"/>
      <x:c r="G99" s="2"/>
      <x:c r="H99" s="2"/>
      <x:c r="I99" s="2"/>
      <x:c r="J99" s="2"/>
    </x:row>
    <x:row r="100" ht="21" customHeight="1">
      <x:c r="A100" s="2"/>
      <x:c r="B100" s="2"/>
      <x:c r="C100" s="2"/>
      <x:c r="D100" s="2"/>
      <x:c r="E100" s="2"/>
      <x:c r="F100" s="2"/>
      <x:c r="G100" s="2"/>
      <x:c r="H100" s="2"/>
      <x:c r="I100" s="2"/>
      <x:c r="J100" s="2"/>
    </x:row>
    <x:row r="101" ht="21" customHeight="1">
      <x:c r="A101" s="2"/>
      <x:c r="B101" s="2"/>
      <x:c r="C101" s="2"/>
      <x:c r="D101" s="2"/>
      <x:c r="E101" s="2"/>
      <x:c r="F101" s="2"/>
      <x:c r="G101" s="2"/>
      <x:c r="H101" s="2"/>
      <x:c r="I101" s="2"/>
      <x:c r="J101" s="2"/>
    </x:row>
    <x:row r="102" ht="21" customHeight="1">
      <x:c r="A102" s="2"/>
      <x:c r="B102" s="2"/>
      <x:c r="C102" s="2"/>
      <x:c r="D102" s="2"/>
      <x:c r="E102" s="2"/>
      <x:c r="F102" s="2"/>
      <x:c r="G102" s="2"/>
      <x:c r="H102" s="2"/>
      <x:c r="I102" s="2"/>
      <x:c r="J102" s="2"/>
    </x:row>
  </x:sheetData>
  <x:dataValidations count="60">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x:formula2>
    </x:dataValidation>
    <x:dataValidation type="decimal" operator="between" sqref="D90">
      <x:formula1>0</x:formula1>
      <x:formula2>1</x:formula2>
    </x:dataValidation>
    <x:dataValidation type="decimal" operator="between" sqref="D92">
      <x:formula1>0</x:formula1>
      <x:formula2>1000000000000</x:formula2>
    </x:dataValidation>
    <x:dataValidation type="decimal" operator="between" sqref="D93">
      <x:formula1>0</x:formula1>
      <x:formula2>1000000000000</x:formula2>
    </x:dataValidation>
    <x:dataValidation type="decimal" operator="between" sqref="D95">
      <x:formula1>0</x:formula1>
      <x:formula2>1000000000000</x:formula2>
    </x:dataValidation>
    <x:dataValidation type="decimal" operator="between" sqref="D96">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Veterinary Services</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Appointment capacity</x:v>
      </x:c>
      <x:c r="E9" s="21" t="str">
        <x:v>Requested appointments</x:v>
      </x:c>
      <x:c r="F9" s="21" t="str">
        <x:v>Clinical bill / appointment</x:v>
      </x:c>
      <x:c r="G9" s="21" t="str">
        <x:v>Surgery cases</x:v>
      </x:c>
      <x:c r="H9" s="21" t="str">
        <x:v>Bill / surgery case</x:v>
      </x:c>
      <x:c r="I9" s="21" t="str">
        <x:v>Boarding animal-nights</x:v>
      </x:c>
      <x:c r="J9" s="21" t="str">
        <x:v>Boarding rate / night</x:v>
      </x:c>
      <x:c r="K9" s="21" t="str">
        <x:v>Clinical/support payroll</x:v>
      </x:c>
      <x:c r="L9" s="21" t="str">
        <x:v>Clinical supply/lab fraction</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600</x:v>
      </x:c>
      <x:c r="E10" s="16" t="n">
        <x:v>750</x:v>
      </x:c>
      <x:c r="F10" s="27" t="n">
        <x:v>160</x:v>
      </x:c>
      <x:c r="G10" s="16" t="n">
        <x:v>55</x:v>
      </x:c>
      <x:c r="H10" s="27" t="n">
        <x:v>950</x:v>
      </x:c>
      <x:c r="I10" s="16" t="n">
        <x:v>120</x:v>
      </x:c>
      <x:c r="J10" s="27" t="n">
        <x:v>45</x:v>
      </x:c>
      <x:c r="K10" s="27" t="n">
        <x:v>59000</x:v>
      </x:c>
      <x:c r="L10" s="30" t="n">
        <x:v>0.2</x:v>
      </x:c>
      <x:c r="M10" s="27" t="n">
        <x:v>0</x:v>
      </x:c>
      <x:c r="N10" s="13" t="str">
        <x:f>IF(AND(IF(ISNUMBER(D10),AND(D10&gt;=0,D10&lt;=1000000000000),FALSE),IF(ISNUMBER(E10),AND(E10&gt;=0,E10&lt;=1000000000000),FALSE),IF(ISNUMBER(F10),AND(F10&gt;=0,F10&lt;=1000000000000),FALSE),IF(ISNUMBER(G10),AND(G10&gt;=0,G10&lt;=1000000000000),FALSE),IF(ISNUMBER(H10),AND(H10&gt;=0,H10&lt;=1000000000000),FALSE),IF(ISNUMBER(I10),AND(I10&gt;=0,I10&lt;=1000000000000),FALSE),IF(ISNUMBER(J10),AND(J10&gt;=0,J10&lt;=1000000000000),FALSE),IF(ISNUMBER(K10),AND(K10&gt;=0,K10&lt;=1000000000000),FALSE),IF(ISNUMBER(L10),AND(L10&gt;=0,L10&lt;=1),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600</x:v>
      </x:c>
      <x:c r="E11" s="16" t="n">
        <x:v>750</x:v>
      </x:c>
      <x:c r="F11" s="27" t="n">
        <x:v>160</x:v>
      </x:c>
      <x:c r="G11" s="16" t="n">
        <x:v>55</x:v>
      </x:c>
      <x:c r="H11" s="27" t="n">
        <x:v>950</x:v>
      </x:c>
      <x:c r="I11" s="16" t="n">
        <x:v>120</x:v>
      </x:c>
      <x:c r="J11" s="27" t="n">
        <x:v>45</x:v>
      </x:c>
      <x:c r="K11" s="27" t="n">
        <x:v>59000</x:v>
      </x:c>
      <x:c r="L11" s="30" t="n">
        <x:v>0.2</x:v>
      </x:c>
      <x:c r="M11" s="27" t="n">
        <x:v>0</x:v>
      </x:c>
      <x:c r="N11" s="13" t="str">
        <x:f>IF(AND(IF(ISNUMBER(D11),AND(D11&gt;=0,D11&lt;=1000000000000),FALSE),IF(ISNUMBER(E11),AND(E11&gt;=0,E11&lt;=1000000000000),FALSE),IF(ISNUMBER(F11),AND(F11&gt;=0,F11&lt;=1000000000000),FALSE),IF(ISNUMBER(G11),AND(G11&gt;=0,G11&lt;=1000000000000),FALSE),IF(ISNUMBER(H11),AND(H11&gt;=0,H11&lt;=1000000000000),FALSE),IF(ISNUMBER(I11),AND(I11&gt;=0,I11&lt;=1000000000000),FALSE),IF(ISNUMBER(J11),AND(J11&gt;=0,J11&lt;=1000000000000),FALSE),IF(ISNUMBER(K11),AND(K11&gt;=0,K11&lt;=1000000000000),FALSE),IF(ISNUMBER(L11),AND(L11&gt;=0,L11&lt;=1),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600</x:v>
      </x:c>
      <x:c r="E12" s="16" t="n">
        <x:v>750</x:v>
      </x:c>
      <x:c r="F12" s="27" t="n">
        <x:v>160</x:v>
      </x:c>
      <x:c r="G12" s="16" t="n">
        <x:v>55</x:v>
      </x:c>
      <x:c r="H12" s="27" t="n">
        <x:v>950</x:v>
      </x:c>
      <x:c r="I12" s="16" t="n">
        <x:v>120</x:v>
      </x:c>
      <x:c r="J12" s="27" t="n">
        <x:v>45</x:v>
      </x:c>
      <x:c r="K12" s="27" t="n">
        <x:v>59000</x:v>
      </x:c>
      <x:c r="L12" s="30" t="n">
        <x:v>0.2</x:v>
      </x:c>
      <x:c r="M12" s="27" t="n">
        <x:v>0</x:v>
      </x:c>
      <x:c r="N12" s="13" t="str">
        <x:f>IF(AND(IF(ISNUMBER(D12),AND(D12&gt;=0,D12&lt;=1000000000000),FALSE),IF(ISNUMBER(E12),AND(E12&gt;=0,E12&lt;=1000000000000),FALSE),IF(ISNUMBER(F12),AND(F12&gt;=0,F12&lt;=1000000000000),FALSE),IF(ISNUMBER(G12),AND(G12&gt;=0,G12&lt;=1000000000000),FALSE),IF(ISNUMBER(H12),AND(H12&gt;=0,H12&lt;=1000000000000),FALSE),IF(ISNUMBER(I12),AND(I12&gt;=0,I12&lt;=1000000000000),FALSE),IF(ISNUMBER(J12),AND(J12&gt;=0,J12&lt;=1000000000000),FALSE),IF(ISNUMBER(K12),AND(K12&gt;=0,K12&lt;=1000000000000),FALSE),IF(ISNUMBER(L12),AND(L12&gt;=0,L12&lt;=1),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600</x:v>
      </x:c>
      <x:c r="E13" s="16" t="n">
        <x:v>750</x:v>
      </x:c>
      <x:c r="F13" s="27" t="n">
        <x:v>160</x:v>
      </x:c>
      <x:c r="G13" s="16" t="n">
        <x:v>55</x:v>
      </x:c>
      <x:c r="H13" s="27" t="n">
        <x:v>950</x:v>
      </x:c>
      <x:c r="I13" s="16" t="n">
        <x:v>120</x:v>
      </x:c>
      <x:c r="J13" s="27" t="n">
        <x:v>45</x:v>
      </x:c>
      <x:c r="K13" s="27" t="n">
        <x:v>59000</x:v>
      </x:c>
      <x:c r="L13" s="30" t="n">
        <x:v>0.2</x:v>
      </x:c>
      <x:c r="M13" s="27" t="n">
        <x:v>0</x:v>
      </x:c>
      <x:c r="N13" s="13" t="str">
        <x:f>IF(AND(IF(ISNUMBER(D13),AND(D13&gt;=0,D13&lt;=1000000000000),FALSE),IF(ISNUMBER(E13),AND(E13&gt;=0,E13&lt;=1000000000000),FALSE),IF(ISNUMBER(F13),AND(F13&gt;=0,F13&lt;=1000000000000),FALSE),IF(ISNUMBER(G13),AND(G13&gt;=0,G13&lt;=1000000000000),FALSE),IF(ISNUMBER(H13),AND(H13&gt;=0,H13&lt;=1000000000000),FALSE),IF(ISNUMBER(I13),AND(I13&gt;=0,I13&lt;=1000000000000),FALSE),IF(ISNUMBER(J13),AND(J13&gt;=0,J13&lt;=1000000000000),FALSE),IF(ISNUMBER(K13),AND(K13&gt;=0,K13&lt;=1000000000000),FALSE),IF(ISNUMBER(L13),AND(L13&gt;=0,L13&lt;=1),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600</x:v>
      </x:c>
      <x:c r="E14" s="16" t="n">
        <x:v>750</x:v>
      </x:c>
      <x:c r="F14" s="27" t="n">
        <x:v>160</x:v>
      </x:c>
      <x:c r="G14" s="16" t="n">
        <x:v>55</x:v>
      </x:c>
      <x:c r="H14" s="27" t="n">
        <x:v>950</x:v>
      </x:c>
      <x:c r="I14" s="16" t="n">
        <x:v>120</x:v>
      </x:c>
      <x:c r="J14" s="27" t="n">
        <x:v>45</x:v>
      </x:c>
      <x:c r="K14" s="27" t="n">
        <x:v>59000</x:v>
      </x:c>
      <x:c r="L14" s="30" t="n">
        <x:v>0.2</x:v>
      </x:c>
      <x:c r="M14" s="27" t="n">
        <x:v>0</x:v>
      </x:c>
      <x:c r="N14" s="13" t="str">
        <x:f>IF(AND(IF(ISNUMBER(D14),AND(D14&gt;=0,D14&lt;=1000000000000),FALSE),IF(ISNUMBER(E14),AND(E14&gt;=0,E14&lt;=1000000000000),FALSE),IF(ISNUMBER(F14),AND(F14&gt;=0,F14&lt;=1000000000000),FALSE),IF(ISNUMBER(G14),AND(G14&gt;=0,G14&lt;=1000000000000),FALSE),IF(ISNUMBER(H14),AND(H14&gt;=0,H14&lt;=1000000000000),FALSE),IF(ISNUMBER(I14),AND(I14&gt;=0,I14&lt;=1000000000000),FALSE),IF(ISNUMBER(J14),AND(J14&gt;=0,J14&lt;=1000000000000),FALSE),IF(ISNUMBER(K14),AND(K14&gt;=0,K14&lt;=1000000000000),FALSE),IF(ISNUMBER(L14),AND(L14&gt;=0,L14&lt;=1),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600</x:v>
      </x:c>
      <x:c r="E15" s="16" t="n">
        <x:v>750</x:v>
      </x:c>
      <x:c r="F15" s="27" t="n">
        <x:v>160</x:v>
      </x:c>
      <x:c r="G15" s="16" t="n">
        <x:v>55</x:v>
      </x:c>
      <x:c r="H15" s="27" t="n">
        <x:v>950</x:v>
      </x:c>
      <x:c r="I15" s="16" t="n">
        <x:v>120</x:v>
      </x:c>
      <x:c r="J15" s="27" t="n">
        <x:v>45</x:v>
      </x:c>
      <x:c r="K15" s="27" t="n">
        <x:v>59000</x:v>
      </x:c>
      <x:c r="L15" s="30" t="n">
        <x:v>0.2</x:v>
      </x:c>
      <x:c r="M15" s="27" t="n">
        <x:v>0</x:v>
      </x:c>
      <x:c r="N15" s="13" t="str">
        <x:f>IF(AND(IF(ISNUMBER(D15),AND(D15&gt;=0,D15&lt;=1000000000000),FALSE),IF(ISNUMBER(E15),AND(E15&gt;=0,E15&lt;=1000000000000),FALSE),IF(ISNUMBER(F15),AND(F15&gt;=0,F15&lt;=1000000000000),FALSE),IF(ISNUMBER(G15),AND(G15&gt;=0,G15&lt;=1000000000000),FALSE),IF(ISNUMBER(H15),AND(H15&gt;=0,H15&lt;=1000000000000),FALSE),IF(ISNUMBER(I15),AND(I15&gt;=0,I15&lt;=1000000000000),FALSE),IF(ISNUMBER(J15),AND(J15&gt;=0,J15&lt;=1000000000000),FALSE),IF(ISNUMBER(K15),AND(K15&gt;=0,K15&lt;=1000000000000),FALSE),IF(ISNUMBER(L15),AND(L15&gt;=0,L15&lt;=1),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600</x:v>
      </x:c>
      <x:c r="E16" s="16" t="n">
        <x:v>750</x:v>
      </x:c>
      <x:c r="F16" s="27" t="n">
        <x:v>160</x:v>
      </x:c>
      <x:c r="G16" s="16" t="n">
        <x:v>55</x:v>
      </x:c>
      <x:c r="H16" s="27" t="n">
        <x:v>950</x:v>
      </x:c>
      <x:c r="I16" s="16" t="n">
        <x:v>120</x:v>
      </x:c>
      <x:c r="J16" s="27" t="n">
        <x:v>45</x:v>
      </x:c>
      <x:c r="K16" s="27" t="n">
        <x:v>59000</x:v>
      </x:c>
      <x:c r="L16" s="30" t="n">
        <x:v>0.2</x:v>
      </x:c>
      <x:c r="M16" s="27" t="n">
        <x:v>70000</x:v>
      </x:c>
      <x:c r="N16" s="13" t="str">
        <x:f>IF(AND(IF(ISNUMBER(D16),AND(D16&gt;=0,D16&lt;=1000000000000),FALSE),IF(ISNUMBER(E16),AND(E16&gt;=0,E16&lt;=1000000000000),FALSE),IF(ISNUMBER(F16),AND(F16&gt;=0,F16&lt;=1000000000000),FALSE),IF(ISNUMBER(G16),AND(G16&gt;=0,G16&lt;=1000000000000),FALSE),IF(ISNUMBER(H16),AND(H16&gt;=0,H16&lt;=1000000000000),FALSE),IF(ISNUMBER(I16),AND(I16&gt;=0,I16&lt;=1000000000000),FALSE),IF(ISNUMBER(J16),AND(J16&gt;=0,J16&lt;=1000000000000),FALSE),IF(ISNUMBER(K16),AND(K16&gt;=0,K16&lt;=1000000000000),FALSE),IF(ISNUMBER(L16),AND(L16&gt;=0,L16&lt;=1),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600</x:v>
      </x:c>
      <x:c r="E17" s="16" t="n">
        <x:v>750</x:v>
      </x:c>
      <x:c r="F17" s="27" t="n">
        <x:v>160</x:v>
      </x:c>
      <x:c r="G17" s="16" t="n">
        <x:v>55</x:v>
      </x:c>
      <x:c r="H17" s="27" t="n">
        <x:v>950</x:v>
      </x:c>
      <x:c r="I17" s="16" t="n">
        <x:v>120</x:v>
      </x:c>
      <x:c r="J17" s="27" t="n">
        <x:v>45</x:v>
      </x:c>
      <x:c r="K17" s="27" t="n">
        <x:v>59000</x:v>
      </x:c>
      <x:c r="L17" s="30" t="n">
        <x:v>0.2</x:v>
      </x:c>
      <x:c r="M17" s="27" t="n">
        <x:v>0</x:v>
      </x:c>
      <x:c r="N17" s="13" t="str">
        <x:f>IF(AND(IF(ISNUMBER(D17),AND(D17&gt;=0,D17&lt;=1000000000000),FALSE),IF(ISNUMBER(E17),AND(E17&gt;=0,E17&lt;=1000000000000),FALSE),IF(ISNUMBER(F17),AND(F17&gt;=0,F17&lt;=1000000000000),FALSE),IF(ISNUMBER(G17),AND(G17&gt;=0,G17&lt;=1000000000000),FALSE),IF(ISNUMBER(H17),AND(H17&gt;=0,H17&lt;=1000000000000),FALSE),IF(ISNUMBER(I17),AND(I17&gt;=0,I17&lt;=1000000000000),FALSE),IF(ISNUMBER(J17),AND(J17&gt;=0,J17&lt;=1000000000000),FALSE),IF(ISNUMBER(K17),AND(K17&gt;=0,K17&lt;=1000000000000),FALSE),IF(ISNUMBER(L17),AND(L17&gt;=0,L17&lt;=1),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600</x:v>
      </x:c>
      <x:c r="E18" s="16" t="n">
        <x:v>750</x:v>
      </x:c>
      <x:c r="F18" s="27" t="n">
        <x:v>160</x:v>
      </x:c>
      <x:c r="G18" s="16" t="n">
        <x:v>55</x:v>
      </x:c>
      <x:c r="H18" s="27" t="n">
        <x:v>950</x:v>
      </x:c>
      <x:c r="I18" s="16" t="n">
        <x:v>120</x:v>
      </x:c>
      <x:c r="J18" s="27" t="n">
        <x:v>45</x:v>
      </x:c>
      <x:c r="K18" s="27" t="n">
        <x:v>59000</x:v>
      </x:c>
      <x:c r="L18" s="30" t="n">
        <x:v>0.2</x:v>
      </x:c>
      <x:c r="M18" s="27" t="n">
        <x:v>0</x:v>
      </x:c>
      <x:c r="N18" s="13" t="str">
        <x:f>IF(AND(IF(ISNUMBER(D18),AND(D18&gt;=0,D18&lt;=1000000000000),FALSE),IF(ISNUMBER(E18),AND(E18&gt;=0,E18&lt;=1000000000000),FALSE),IF(ISNUMBER(F18),AND(F18&gt;=0,F18&lt;=1000000000000),FALSE),IF(ISNUMBER(G18),AND(G18&gt;=0,G18&lt;=1000000000000),FALSE),IF(ISNUMBER(H18),AND(H18&gt;=0,H18&lt;=1000000000000),FALSE),IF(ISNUMBER(I18),AND(I18&gt;=0,I18&lt;=1000000000000),FALSE),IF(ISNUMBER(J18),AND(J18&gt;=0,J18&lt;=1000000000000),FALSE),IF(ISNUMBER(K18),AND(K18&gt;=0,K18&lt;=1000000000000),FALSE),IF(ISNUMBER(L18),AND(L18&gt;=0,L18&lt;=1),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600</x:v>
      </x:c>
      <x:c r="E19" s="16" t="n">
        <x:v>750</x:v>
      </x:c>
      <x:c r="F19" s="27" t="n">
        <x:v>160</x:v>
      </x:c>
      <x:c r="G19" s="16" t="n">
        <x:v>55</x:v>
      </x:c>
      <x:c r="H19" s="27" t="n">
        <x:v>950</x:v>
      </x:c>
      <x:c r="I19" s="16" t="n">
        <x:v>120</x:v>
      </x:c>
      <x:c r="J19" s="27" t="n">
        <x:v>45</x:v>
      </x:c>
      <x:c r="K19" s="27" t="n">
        <x:v>59000</x:v>
      </x:c>
      <x:c r="L19" s="30" t="n">
        <x:v>0.2</x:v>
      </x:c>
      <x:c r="M19" s="27" t="n">
        <x:v>0</x:v>
      </x:c>
      <x:c r="N19" s="13" t="str">
        <x:f>IF(AND(IF(ISNUMBER(D19),AND(D19&gt;=0,D19&lt;=1000000000000),FALSE),IF(ISNUMBER(E19),AND(E19&gt;=0,E19&lt;=1000000000000),FALSE),IF(ISNUMBER(F19),AND(F19&gt;=0,F19&lt;=1000000000000),FALSE),IF(ISNUMBER(G19),AND(G19&gt;=0,G19&lt;=1000000000000),FALSE),IF(ISNUMBER(H19),AND(H19&gt;=0,H19&lt;=1000000000000),FALSE),IF(ISNUMBER(I19),AND(I19&gt;=0,I19&lt;=1000000000000),FALSE),IF(ISNUMBER(J19),AND(J19&gt;=0,J19&lt;=1000000000000),FALSE),IF(ISNUMBER(K19),AND(K19&gt;=0,K19&lt;=1000000000000),FALSE),IF(ISNUMBER(L19),AND(L19&gt;=0,L19&lt;=1),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600</x:v>
      </x:c>
      <x:c r="E20" s="16" t="n">
        <x:v>750</x:v>
      </x:c>
      <x:c r="F20" s="27" t="n">
        <x:v>160</x:v>
      </x:c>
      <x:c r="G20" s="16" t="n">
        <x:v>55</x:v>
      </x:c>
      <x:c r="H20" s="27" t="n">
        <x:v>950</x:v>
      </x:c>
      <x:c r="I20" s="16" t="n">
        <x:v>120</x:v>
      </x:c>
      <x:c r="J20" s="27" t="n">
        <x:v>45</x:v>
      </x:c>
      <x:c r="K20" s="27" t="n">
        <x:v>59000</x:v>
      </x:c>
      <x:c r="L20" s="30" t="n">
        <x:v>0.2</x:v>
      </x:c>
      <x:c r="M20" s="27" t="n">
        <x:v>0</x:v>
      </x:c>
      <x:c r="N20" s="13" t="str">
        <x:f>IF(AND(IF(ISNUMBER(D20),AND(D20&gt;=0,D20&lt;=1000000000000),FALSE),IF(ISNUMBER(E20),AND(E20&gt;=0,E20&lt;=1000000000000),FALSE),IF(ISNUMBER(F20),AND(F20&gt;=0,F20&lt;=1000000000000),FALSE),IF(ISNUMBER(G20),AND(G20&gt;=0,G20&lt;=1000000000000),FALSE),IF(ISNUMBER(H20),AND(H20&gt;=0,H20&lt;=1000000000000),FALSE),IF(ISNUMBER(I20),AND(I20&gt;=0,I20&lt;=1000000000000),FALSE),IF(ISNUMBER(J20),AND(J20&gt;=0,J20&lt;=1000000000000),FALSE),IF(ISNUMBER(K20),AND(K20&gt;=0,K20&lt;=1000000000000),FALSE),IF(ISNUMBER(L20),AND(L20&gt;=0,L20&lt;=1),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600</x:v>
      </x:c>
      <x:c r="E21" s="16" t="n">
        <x:v>750</x:v>
      </x:c>
      <x:c r="F21" s="27" t="n">
        <x:v>160</x:v>
      </x:c>
      <x:c r="G21" s="16" t="n">
        <x:v>55</x:v>
      </x:c>
      <x:c r="H21" s="27" t="n">
        <x:v>950</x:v>
      </x:c>
      <x:c r="I21" s="16" t="n">
        <x:v>120</x:v>
      </x:c>
      <x:c r="J21" s="27" t="n">
        <x:v>45</x:v>
      </x:c>
      <x:c r="K21" s="27" t="n">
        <x:v>59000</x:v>
      </x:c>
      <x:c r="L21" s="30" t="n">
        <x:v>0.2</x:v>
      </x:c>
      <x:c r="M21" s="27" t="n">
        <x:v>0</x:v>
      </x:c>
      <x:c r="N21" s="13" t="str">
        <x:f>IF(AND(IF(ISNUMBER(D21),AND(D21&gt;=0,D21&lt;=1000000000000),FALSE),IF(ISNUMBER(E21),AND(E21&gt;=0,E21&lt;=1000000000000),FALSE),IF(ISNUMBER(F21),AND(F21&gt;=0,F21&lt;=1000000000000),FALSE),IF(ISNUMBER(G21),AND(G21&gt;=0,G21&lt;=1000000000000),FALSE),IF(ISNUMBER(H21),AND(H21&gt;=0,H21&lt;=1000000000000),FALSE),IF(ISNUMBER(I21),AND(I21&gt;=0,I21&lt;=1000000000000),FALSE),IF(ISNUMBER(J21),AND(J21&gt;=0,J21&lt;=1000000000000),FALSE),IF(ISNUMBER(K21),AND(K21&gt;=0,K21&lt;=1000000000000),FALSE),IF(ISNUMBER(L21),AND(L21&gt;=0,L21&lt;=1),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Appointments within capacity</x:v>
      </x:c>
      <x:c r="D10" s="2" t="str">
        <x:v>visits</x:v>
      </x:c>
      <x:c r="E10" s="49" t="n">
        <x:f>IF(COUNT(G10:R10)=12,SUM(G10:R10),"n.a.")</x:f>
        <x:v>7200</x:v>
      </x:c>
      <x:c r="F10" s="2"/>
      <x:c r="G10" s="48" t="n">
        <x:f>IF(AND('Veterinary Services'!N10="OK"),IF(AND(ISNUMBER('Veterinary Services'!$D$10),ISNUMBER('Veterinary Services'!$E$10),ISNUMBER('Assumptions'!$D$61)),MIN('Veterinary Services'!$D$10,'Veterinary Services'!$E$10*'Assumptions'!$D$61),"n.a."),"n.a.")</x:f>
        <x:v>600</x:v>
      </x:c>
      <x:c r="H10" s="48" t="n">
        <x:f>IF(AND('Veterinary Services'!N11="OK"),IF(AND(ISNUMBER('Veterinary Services'!$D$11),ISNUMBER('Veterinary Services'!$E$11),ISNUMBER('Assumptions'!$D$61)),MIN('Veterinary Services'!$D$11,'Veterinary Services'!$E$11*'Assumptions'!$D$61),"n.a."),"n.a.")</x:f>
        <x:v>600</x:v>
      </x:c>
      <x:c r="I10" s="48" t="n">
        <x:f>IF(AND('Veterinary Services'!N12="OK"),IF(AND(ISNUMBER('Veterinary Services'!$D$12),ISNUMBER('Veterinary Services'!$E$12),ISNUMBER('Assumptions'!$D$61)),MIN('Veterinary Services'!$D$12,'Veterinary Services'!$E$12*'Assumptions'!$D$61),"n.a."),"n.a.")</x:f>
        <x:v>600</x:v>
      </x:c>
      <x:c r="J10" s="48" t="n">
        <x:f>IF(AND('Veterinary Services'!N13="OK"),IF(AND(ISNUMBER('Veterinary Services'!$D$13),ISNUMBER('Veterinary Services'!$E$13),ISNUMBER('Assumptions'!$D$61)),MIN('Veterinary Services'!$D$13,'Veterinary Services'!$E$13*'Assumptions'!$D$61),"n.a."),"n.a.")</x:f>
        <x:v>600</x:v>
      </x:c>
      <x:c r="K10" s="48" t="n">
        <x:f>IF(AND('Veterinary Services'!N14="OK"),IF(AND(ISNUMBER('Veterinary Services'!$D$14),ISNUMBER('Veterinary Services'!$E$14),ISNUMBER('Assumptions'!$D$61)),MIN('Veterinary Services'!$D$14,'Veterinary Services'!$E$14*'Assumptions'!$D$61),"n.a."),"n.a.")</x:f>
        <x:v>600</x:v>
      </x:c>
      <x:c r="L10" s="48" t="n">
        <x:f>IF(AND('Veterinary Services'!N15="OK"),IF(AND(ISNUMBER('Veterinary Services'!$D$15),ISNUMBER('Veterinary Services'!$E$15),ISNUMBER('Assumptions'!$D$61)),MIN('Veterinary Services'!$D$15,'Veterinary Services'!$E$15*'Assumptions'!$D$61),"n.a."),"n.a.")</x:f>
        <x:v>600</x:v>
      </x:c>
      <x:c r="M10" s="48" t="n">
        <x:f>IF(AND('Veterinary Services'!N16="OK"),IF(AND(ISNUMBER('Veterinary Services'!$D$16),ISNUMBER('Veterinary Services'!$E$16),ISNUMBER('Assumptions'!$D$61)),MIN('Veterinary Services'!$D$16,'Veterinary Services'!$E$16*'Assumptions'!$D$61),"n.a."),"n.a.")</x:f>
        <x:v>600</x:v>
      </x:c>
      <x:c r="N10" s="48" t="n">
        <x:f>IF(AND('Veterinary Services'!N17="OK"),IF(AND(ISNUMBER('Veterinary Services'!$D$17),ISNUMBER('Veterinary Services'!$E$17),ISNUMBER('Assumptions'!$D$61)),MIN('Veterinary Services'!$D$17,'Veterinary Services'!$E$17*'Assumptions'!$D$61),"n.a."),"n.a.")</x:f>
        <x:v>600</x:v>
      </x:c>
      <x:c r="O10" s="48" t="n">
        <x:f>IF(AND('Veterinary Services'!N18="OK"),IF(AND(ISNUMBER('Veterinary Services'!$D$18),ISNUMBER('Veterinary Services'!$E$18),ISNUMBER('Assumptions'!$D$61)),MIN('Veterinary Services'!$D$18,'Veterinary Services'!$E$18*'Assumptions'!$D$61),"n.a."),"n.a.")</x:f>
        <x:v>600</x:v>
      </x:c>
      <x:c r="P10" s="48" t="n">
        <x:f>IF(AND('Veterinary Services'!N19="OK"),IF(AND(ISNUMBER('Veterinary Services'!$D$19),ISNUMBER('Veterinary Services'!$E$19),ISNUMBER('Assumptions'!$D$61)),MIN('Veterinary Services'!$D$19,'Veterinary Services'!$E$19*'Assumptions'!$D$61),"n.a."),"n.a.")</x:f>
        <x:v>600</x:v>
      </x:c>
      <x:c r="Q10" s="48" t="n">
        <x:f>IF(AND('Veterinary Services'!N20="OK"),IF(AND(ISNUMBER('Veterinary Services'!$D$20),ISNUMBER('Veterinary Services'!$E$20),ISNUMBER('Assumptions'!$D$61)),MIN('Veterinary Services'!$D$20,'Veterinary Services'!$E$20*'Assumptions'!$D$61),"n.a."),"n.a.")</x:f>
        <x:v>600</x:v>
      </x:c>
      <x:c r="R10" s="48" t="n">
        <x:f>IF(AND('Veterinary Services'!N21="OK"),IF(AND(ISNUMBER('Veterinary Services'!$D$21),ISNUMBER('Veterinary Services'!$E$21),ISNUMBER('Assumptions'!$D$61)),MIN('Veterinary Services'!$D$21,'Veterinary Services'!$E$21*'Assumptions'!$D$61),"n.a."),"n.a.")</x:f>
        <x:v>600</x:v>
      </x:c>
    </x:row>
    <x:row r="11" ht="21" customHeight="1">
      <x:c r="A11" s="2"/>
      <x:c r="B11" s="2"/>
      <x:c r="C11" s="2" t="str">
        <x:v>Separately billed surgery cases</x:v>
      </x:c>
      <x:c r="D11" s="2" t="str">
        <x:v>cases</x:v>
      </x:c>
      <x:c r="E11" s="49" t="n">
        <x:f>IF(COUNT(G11:R11)=12,SUM(G11:R11),"n.a.")</x:f>
        <x:v>660</x:v>
      </x:c>
      <x:c r="F11" s="2"/>
      <x:c r="G11" s="48" t="n">
        <x:f>IF(AND('Veterinary Services'!N10="OK"),IF(AND(ISNUMBER('Veterinary Services'!$G$10),ISNUMBER('Assumptions'!$D$61)),'Veterinary Services'!$G$10*'Assumptions'!$D$61,"n.a."),"n.a.")</x:f>
        <x:v>55</x:v>
      </x:c>
      <x:c r="H11" s="48" t="n">
        <x:f>IF(AND('Veterinary Services'!N11="OK"),IF(AND(ISNUMBER('Veterinary Services'!$G$11),ISNUMBER('Assumptions'!$D$61)),'Veterinary Services'!$G$11*'Assumptions'!$D$61,"n.a."),"n.a.")</x:f>
        <x:v>55</x:v>
      </x:c>
      <x:c r="I11" s="48" t="n">
        <x:f>IF(AND('Veterinary Services'!N12="OK"),IF(AND(ISNUMBER('Veterinary Services'!$G$12),ISNUMBER('Assumptions'!$D$61)),'Veterinary Services'!$G$12*'Assumptions'!$D$61,"n.a."),"n.a.")</x:f>
        <x:v>55</x:v>
      </x:c>
      <x:c r="J11" s="48" t="n">
        <x:f>IF(AND('Veterinary Services'!N13="OK"),IF(AND(ISNUMBER('Veterinary Services'!$G$13),ISNUMBER('Assumptions'!$D$61)),'Veterinary Services'!$G$13*'Assumptions'!$D$61,"n.a."),"n.a.")</x:f>
        <x:v>55</x:v>
      </x:c>
      <x:c r="K11" s="48" t="n">
        <x:f>IF(AND('Veterinary Services'!N14="OK"),IF(AND(ISNUMBER('Veterinary Services'!$G$14),ISNUMBER('Assumptions'!$D$61)),'Veterinary Services'!$G$14*'Assumptions'!$D$61,"n.a."),"n.a.")</x:f>
        <x:v>55</x:v>
      </x:c>
      <x:c r="L11" s="48" t="n">
        <x:f>IF(AND('Veterinary Services'!N15="OK"),IF(AND(ISNUMBER('Veterinary Services'!$G$15),ISNUMBER('Assumptions'!$D$61)),'Veterinary Services'!$G$15*'Assumptions'!$D$61,"n.a."),"n.a.")</x:f>
        <x:v>55</x:v>
      </x:c>
      <x:c r="M11" s="48" t="n">
        <x:f>IF(AND('Veterinary Services'!N16="OK"),IF(AND(ISNUMBER('Veterinary Services'!$G$16),ISNUMBER('Assumptions'!$D$61)),'Veterinary Services'!$G$16*'Assumptions'!$D$61,"n.a."),"n.a.")</x:f>
        <x:v>55</x:v>
      </x:c>
      <x:c r="N11" s="48" t="n">
        <x:f>IF(AND('Veterinary Services'!N17="OK"),IF(AND(ISNUMBER('Veterinary Services'!$G$17),ISNUMBER('Assumptions'!$D$61)),'Veterinary Services'!$G$17*'Assumptions'!$D$61,"n.a."),"n.a.")</x:f>
        <x:v>55</x:v>
      </x:c>
      <x:c r="O11" s="48" t="n">
        <x:f>IF(AND('Veterinary Services'!N18="OK"),IF(AND(ISNUMBER('Veterinary Services'!$G$18),ISNUMBER('Assumptions'!$D$61)),'Veterinary Services'!$G$18*'Assumptions'!$D$61,"n.a."),"n.a.")</x:f>
        <x:v>55</x:v>
      </x:c>
      <x:c r="P11" s="48" t="n">
        <x:f>IF(AND('Veterinary Services'!N19="OK"),IF(AND(ISNUMBER('Veterinary Services'!$G$19),ISNUMBER('Assumptions'!$D$61)),'Veterinary Services'!$G$19*'Assumptions'!$D$61,"n.a."),"n.a.")</x:f>
        <x:v>55</x:v>
      </x:c>
      <x:c r="Q11" s="48" t="n">
        <x:f>IF(AND('Veterinary Services'!N20="OK"),IF(AND(ISNUMBER('Veterinary Services'!$G$20),ISNUMBER('Assumptions'!$D$61)),'Veterinary Services'!$G$20*'Assumptions'!$D$61,"n.a."),"n.a.")</x:f>
        <x:v>55</x:v>
      </x:c>
      <x:c r="R11" s="48" t="n">
        <x:f>IF(AND('Veterinary Services'!N21="OK"),IF(AND(ISNUMBER('Veterinary Services'!$G$21),ISNUMBER('Assumptions'!$D$61)),'Veterinary Services'!$G$21*'Assumptions'!$D$61,"n.a."),"n.a.")</x:f>
        <x:v>55</x:v>
      </x:c>
    </x:row>
    <x:row r="12" ht="21" customHeight="1">
      <x:c r="A12" s="2"/>
      <x:c r="B12" s="2"/>
      <x:c r="C12" s="2" t="str">
        <x:v>Boarding animal-nights</x:v>
      </x:c>
      <x:c r="D12" s="2" t="str">
        <x:v>nights</x:v>
      </x:c>
      <x:c r="E12" s="49" t="n">
        <x:f>IF(COUNT(G12:R12)=12,SUM(G12:R12),"n.a.")</x:f>
        <x:v>1440</x:v>
      </x:c>
      <x:c r="F12" s="2"/>
      <x:c r="G12" s="48" t="n">
        <x:f>IF(AND('Veterinary Services'!N10="OK"),IF(AND(ISNUMBER('Veterinary Services'!$I$10),ISNUMBER('Assumptions'!$D$61)),'Veterinary Services'!$I$10*'Assumptions'!$D$61,"n.a."),"n.a.")</x:f>
        <x:v>120</x:v>
      </x:c>
      <x:c r="H12" s="48" t="n">
        <x:f>IF(AND('Veterinary Services'!N11="OK"),IF(AND(ISNUMBER('Veterinary Services'!$I$11),ISNUMBER('Assumptions'!$D$61)),'Veterinary Services'!$I$11*'Assumptions'!$D$61,"n.a."),"n.a.")</x:f>
        <x:v>120</x:v>
      </x:c>
      <x:c r="I12" s="48" t="n">
        <x:f>IF(AND('Veterinary Services'!N12="OK"),IF(AND(ISNUMBER('Veterinary Services'!$I$12),ISNUMBER('Assumptions'!$D$61)),'Veterinary Services'!$I$12*'Assumptions'!$D$61,"n.a."),"n.a.")</x:f>
        <x:v>120</x:v>
      </x:c>
      <x:c r="J12" s="48" t="n">
        <x:f>IF(AND('Veterinary Services'!N13="OK"),IF(AND(ISNUMBER('Veterinary Services'!$I$13),ISNUMBER('Assumptions'!$D$61)),'Veterinary Services'!$I$13*'Assumptions'!$D$61,"n.a."),"n.a.")</x:f>
        <x:v>120</x:v>
      </x:c>
      <x:c r="K12" s="48" t="n">
        <x:f>IF(AND('Veterinary Services'!N14="OK"),IF(AND(ISNUMBER('Veterinary Services'!$I$14),ISNUMBER('Assumptions'!$D$61)),'Veterinary Services'!$I$14*'Assumptions'!$D$61,"n.a."),"n.a.")</x:f>
        <x:v>120</x:v>
      </x:c>
      <x:c r="L12" s="48" t="n">
        <x:f>IF(AND('Veterinary Services'!N15="OK"),IF(AND(ISNUMBER('Veterinary Services'!$I$15),ISNUMBER('Assumptions'!$D$61)),'Veterinary Services'!$I$15*'Assumptions'!$D$61,"n.a."),"n.a.")</x:f>
        <x:v>120</x:v>
      </x:c>
      <x:c r="M12" s="48" t="n">
        <x:f>IF(AND('Veterinary Services'!N16="OK"),IF(AND(ISNUMBER('Veterinary Services'!$I$16),ISNUMBER('Assumptions'!$D$61)),'Veterinary Services'!$I$16*'Assumptions'!$D$61,"n.a."),"n.a.")</x:f>
        <x:v>120</x:v>
      </x:c>
      <x:c r="N12" s="48" t="n">
        <x:f>IF(AND('Veterinary Services'!N17="OK"),IF(AND(ISNUMBER('Veterinary Services'!$I$17),ISNUMBER('Assumptions'!$D$61)),'Veterinary Services'!$I$17*'Assumptions'!$D$61,"n.a."),"n.a.")</x:f>
        <x:v>120</x:v>
      </x:c>
      <x:c r="O12" s="48" t="n">
        <x:f>IF(AND('Veterinary Services'!N18="OK"),IF(AND(ISNUMBER('Veterinary Services'!$I$18),ISNUMBER('Assumptions'!$D$61)),'Veterinary Services'!$I$18*'Assumptions'!$D$61,"n.a."),"n.a.")</x:f>
        <x:v>120</x:v>
      </x:c>
      <x:c r="P12" s="48" t="n">
        <x:f>IF(AND('Veterinary Services'!N19="OK"),IF(AND(ISNUMBER('Veterinary Services'!$I$19),ISNUMBER('Assumptions'!$D$61)),'Veterinary Services'!$I$19*'Assumptions'!$D$61,"n.a."),"n.a.")</x:f>
        <x:v>120</x:v>
      </x:c>
      <x:c r="Q12" s="48" t="n">
        <x:f>IF(AND('Veterinary Services'!N20="OK"),IF(AND(ISNUMBER('Veterinary Services'!$I$20),ISNUMBER('Assumptions'!$D$61)),'Veterinary Services'!$I$20*'Assumptions'!$D$61,"n.a."),"n.a.")</x:f>
        <x:v>120</x:v>
      </x:c>
      <x:c r="R12" s="48" t="n">
        <x:f>IF(AND('Veterinary Services'!N21="OK"),IF(AND(ISNUMBER('Veterinary Services'!$I$21),ISNUMBER('Assumptions'!$D$61)),'Veterinary Services'!$I$21*'Assumptions'!$D$61,"n.a."),"n.a.")</x:f>
        <x:v>120</x:v>
      </x:c>
    </x:row>
    <x:row r="13" ht="21" customHeight="1">
      <x:c r="A13" s="2"/>
      <x:c r="B13" s="2"/>
      <x:c r="C13" s="2" t="str">
        <x:v>Clinical and surgery billings</x:v>
      </x:c>
      <x:c r="D13" s="2" t="str">
        <x:v>USD</x:v>
      </x:c>
      <x:c r="E13" s="52" t="n">
        <x:f>IF(COUNT(G13:R13)=12,SUM(G13:R13),"n.a.")</x:f>
        <x:v>1779000</x:v>
      </x:c>
      <x:c r="F13" s="2"/>
      <x:c r="G13" s="51" t="n">
        <x:f>IF(AND('Veterinary Services'!N10="OK"),IF(AND(ISNUMBER(G10),ISNUMBER('Veterinary Services'!$F$10),ISNUMBER(G11),ISNUMBER('Veterinary Services'!$H$10),ISNUMBER('Assumptions'!$D$64)),(G10*'Veterinary Services'!$F$10+G11*'Veterinary Services'!$H$10)*'Assumptions'!$D$64,"n.a."),"n.a.")</x:f>
        <x:v>148250</x:v>
      </x:c>
      <x:c r="H13" s="51" t="n">
        <x:f>IF(AND('Veterinary Services'!N11="OK"),IF(AND(ISNUMBER(H10),ISNUMBER('Veterinary Services'!$F$11),ISNUMBER(H11),ISNUMBER('Veterinary Services'!$H$11),ISNUMBER('Assumptions'!$D$64)),(H10*'Veterinary Services'!$F$11+H11*'Veterinary Services'!$H$11)*'Assumptions'!$D$64,"n.a."),"n.a.")</x:f>
        <x:v>148250</x:v>
      </x:c>
      <x:c r="I13" s="51" t="n">
        <x:f>IF(AND('Veterinary Services'!N12="OK"),IF(AND(ISNUMBER(I10),ISNUMBER('Veterinary Services'!$F$12),ISNUMBER(I11),ISNUMBER('Veterinary Services'!$H$12),ISNUMBER('Assumptions'!$D$64)),(I10*'Veterinary Services'!$F$12+I11*'Veterinary Services'!$H$12)*'Assumptions'!$D$64,"n.a."),"n.a.")</x:f>
        <x:v>148250</x:v>
      </x:c>
      <x:c r="J13" s="51" t="n">
        <x:f>IF(AND('Veterinary Services'!N13="OK"),IF(AND(ISNUMBER(J10),ISNUMBER('Veterinary Services'!$F$13),ISNUMBER(J11),ISNUMBER('Veterinary Services'!$H$13),ISNUMBER('Assumptions'!$D$64)),(J10*'Veterinary Services'!$F$13+J11*'Veterinary Services'!$H$13)*'Assumptions'!$D$64,"n.a."),"n.a.")</x:f>
        <x:v>148250</x:v>
      </x:c>
      <x:c r="K13" s="51" t="n">
        <x:f>IF(AND('Veterinary Services'!N14="OK"),IF(AND(ISNUMBER(K10),ISNUMBER('Veterinary Services'!$F$14),ISNUMBER(K11),ISNUMBER('Veterinary Services'!$H$14),ISNUMBER('Assumptions'!$D$64)),(K10*'Veterinary Services'!$F$14+K11*'Veterinary Services'!$H$14)*'Assumptions'!$D$64,"n.a."),"n.a.")</x:f>
        <x:v>148250</x:v>
      </x:c>
      <x:c r="L13" s="51" t="n">
        <x:f>IF(AND('Veterinary Services'!N15="OK"),IF(AND(ISNUMBER(L10),ISNUMBER('Veterinary Services'!$F$15),ISNUMBER(L11),ISNUMBER('Veterinary Services'!$H$15),ISNUMBER('Assumptions'!$D$64)),(L10*'Veterinary Services'!$F$15+L11*'Veterinary Services'!$H$15)*'Assumptions'!$D$64,"n.a."),"n.a.")</x:f>
        <x:v>148250</x:v>
      </x:c>
      <x:c r="M13" s="51" t="n">
        <x:f>IF(AND('Veterinary Services'!N16="OK"),IF(AND(ISNUMBER(M10),ISNUMBER('Veterinary Services'!$F$16),ISNUMBER(M11),ISNUMBER('Veterinary Services'!$H$16),ISNUMBER('Assumptions'!$D$64)),(M10*'Veterinary Services'!$F$16+M11*'Veterinary Services'!$H$16)*'Assumptions'!$D$64,"n.a."),"n.a.")</x:f>
        <x:v>148250</x:v>
      </x:c>
      <x:c r="N13" s="51" t="n">
        <x:f>IF(AND('Veterinary Services'!N17="OK"),IF(AND(ISNUMBER(N10),ISNUMBER('Veterinary Services'!$F$17),ISNUMBER(N11),ISNUMBER('Veterinary Services'!$H$17),ISNUMBER('Assumptions'!$D$64)),(N10*'Veterinary Services'!$F$17+N11*'Veterinary Services'!$H$17)*'Assumptions'!$D$64,"n.a."),"n.a.")</x:f>
        <x:v>148250</x:v>
      </x:c>
      <x:c r="O13" s="51" t="n">
        <x:f>IF(AND('Veterinary Services'!N18="OK"),IF(AND(ISNUMBER(O10),ISNUMBER('Veterinary Services'!$F$18),ISNUMBER(O11),ISNUMBER('Veterinary Services'!$H$18),ISNUMBER('Assumptions'!$D$64)),(O10*'Veterinary Services'!$F$18+O11*'Veterinary Services'!$H$18)*'Assumptions'!$D$64,"n.a."),"n.a.")</x:f>
        <x:v>148250</x:v>
      </x:c>
      <x:c r="P13" s="51" t="n">
        <x:f>IF(AND('Veterinary Services'!N19="OK"),IF(AND(ISNUMBER(P10),ISNUMBER('Veterinary Services'!$F$19),ISNUMBER(P11),ISNUMBER('Veterinary Services'!$H$19),ISNUMBER('Assumptions'!$D$64)),(P10*'Veterinary Services'!$F$19+P11*'Veterinary Services'!$H$19)*'Assumptions'!$D$64,"n.a."),"n.a.")</x:f>
        <x:v>148250</x:v>
      </x:c>
      <x:c r="Q13" s="51" t="n">
        <x:f>IF(AND('Veterinary Services'!N20="OK"),IF(AND(ISNUMBER(Q10),ISNUMBER('Veterinary Services'!$F$20),ISNUMBER(Q11),ISNUMBER('Veterinary Services'!$H$20),ISNUMBER('Assumptions'!$D$64)),(Q10*'Veterinary Services'!$F$20+Q11*'Veterinary Services'!$H$20)*'Assumptions'!$D$64,"n.a."),"n.a.")</x:f>
        <x:v>148250</x:v>
      </x:c>
      <x:c r="R13" s="51" t="n">
        <x:f>IF(AND('Veterinary Services'!N21="OK"),IF(AND(ISNUMBER(R10),ISNUMBER('Veterinary Services'!$F$21),ISNUMBER(R11),ISNUMBER('Veterinary Services'!$H$21),ISNUMBER('Assumptions'!$D$64)),(R10*'Veterinary Services'!$F$21+R11*'Veterinary Services'!$H$21)*'Assumptions'!$D$64,"n.a."),"n.a.")</x:f>
        <x:v>148250</x:v>
      </x:c>
    </x:row>
    <x:row r="14" ht="21" customHeight="1">
      <x:c r="A14" s="2"/>
      <x:c r="B14" s="2"/>
      <x:c r="C14" s="2" t="str">
        <x:v>Realized clinical and boarding collections</x:v>
      </x:c>
      <x:c r="D14" s="2" t="str">
        <x:v>USD</x:v>
      </x:c>
      <x:c r="E14" s="52" t="n">
        <x:f>IF(COUNT(G14:R14)=12,SUM(G14:R14),"n.a.")</x:f>
        <x:v>1806924</x:v>
      </x:c>
      <x:c r="F14" s="2"/>
      <x:c r="G14" s="51" t="n">
        <x:f>IF(AND('Veterinary Services'!N10="OK"),IF(AND(ISNUMBER(G13),ISNUMBER(G12),ISNUMBER('Veterinary Services'!$J$10),ISNUMBER('Assumptions'!$D$64),ISNUMBER('Assumptions'!$D$88)),(G13+G12*'Veterinary Services'!$J$10*'Assumptions'!$D$64)*'Assumptions'!$D$88,"n.a."),"n.a.")</x:f>
        <x:v>150577</x:v>
      </x:c>
      <x:c r="H14" s="51" t="n">
        <x:f>IF(AND('Veterinary Services'!N11="OK"),IF(AND(ISNUMBER(H13),ISNUMBER(H12),ISNUMBER('Veterinary Services'!$J$11),ISNUMBER('Assumptions'!$D$64),ISNUMBER('Assumptions'!$D$88)),(H13+H12*'Veterinary Services'!$J$11*'Assumptions'!$D$64)*'Assumptions'!$D$88,"n.a."),"n.a.")</x:f>
        <x:v>150577</x:v>
      </x:c>
      <x:c r="I14" s="51" t="n">
        <x:f>IF(AND('Veterinary Services'!N12="OK"),IF(AND(ISNUMBER(I13),ISNUMBER(I12),ISNUMBER('Veterinary Services'!$J$12),ISNUMBER('Assumptions'!$D$64),ISNUMBER('Assumptions'!$D$88)),(I13+I12*'Veterinary Services'!$J$12*'Assumptions'!$D$64)*'Assumptions'!$D$88,"n.a."),"n.a.")</x:f>
        <x:v>150577</x:v>
      </x:c>
      <x:c r="J14" s="51" t="n">
        <x:f>IF(AND('Veterinary Services'!N13="OK"),IF(AND(ISNUMBER(J13),ISNUMBER(J12),ISNUMBER('Veterinary Services'!$J$13),ISNUMBER('Assumptions'!$D$64),ISNUMBER('Assumptions'!$D$88)),(J13+J12*'Veterinary Services'!$J$13*'Assumptions'!$D$64)*'Assumptions'!$D$88,"n.a."),"n.a.")</x:f>
        <x:v>150577</x:v>
      </x:c>
      <x:c r="K14" s="51" t="n">
        <x:f>IF(AND('Veterinary Services'!N14="OK"),IF(AND(ISNUMBER(K13),ISNUMBER(K12),ISNUMBER('Veterinary Services'!$J$14),ISNUMBER('Assumptions'!$D$64),ISNUMBER('Assumptions'!$D$88)),(K13+K12*'Veterinary Services'!$J$14*'Assumptions'!$D$64)*'Assumptions'!$D$88,"n.a."),"n.a.")</x:f>
        <x:v>150577</x:v>
      </x:c>
      <x:c r="L14" s="51" t="n">
        <x:f>IF(AND('Veterinary Services'!N15="OK"),IF(AND(ISNUMBER(L13),ISNUMBER(L12),ISNUMBER('Veterinary Services'!$J$15),ISNUMBER('Assumptions'!$D$64),ISNUMBER('Assumptions'!$D$88)),(L13+L12*'Veterinary Services'!$J$15*'Assumptions'!$D$64)*'Assumptions'!$D$88,"n.a."),"n.a.")</x:f>
        <x:v>150577</x:v>
      </x:c>
      <x:c r="M14" s="51" t="n">
        <x:f>IF(AND('Veterinary Services'!N16="OK"),IF(AND(ISNUMBER(M13),ISNUMBER(M12),ISNUMBER('Veterinary Services'!$J$16),ISNUMBER('Assumptions'!$D$64),ISNUMBER('Assumptions'!$D$88)),(M13+M12*'Veterinary Services'!$J$16*'Assumptions'!$D$64)*'Assumptions'!$D$88,"n.a."),"n.a.")</x:f>
        <x:v>150577</x:v>
      </x:c>
      <x:c r="N14" s="51" t="n">
        <x:f>IF(AND('Veterinary Services'!N17="OK"),IF(AND(ISNUMBER(N13),ISNUMBER(N12),ISNUMBER('Veterinary Services'!$J$17),ISNUMBER('Assumptions'!$D$64),ISNUMBER('Assumptions'!$D$88)),(N13+N12*'Veterinary Services'!$J$17*'Assumptions'!$D$64)*'Assumptions'!$D$88,"n.a."),"n.a.")</x:f>
        <x:v>150577</x:v>
      </x:c>
      <x:c r="O14" s="51" t="n">
        <x:f>IF(AND('Veterinary Services'!N18="OK"),IF(AND(ISNUMBER(O13),ISNUMBER(O12),ISNUMBER('Veterinary Services'!$J$18),ISNUMBER('Assumptions'!$D$64),ISNUMBER('Assumptions'!$D$88)),(O13+O12*'Veterinary Services'!$J$18*'Assumptions'!$D$64)*'Assumptions'!$D$88,"n.a."),"n.a.")</x:f>
        <x:v>150577</x:v>
      </x:c>
      <x:c r="P14" s="51" t="n">
        <x:f>IF(AND('Veterinary Services'!N19="OK"),IF(AND(ISNUMBER(P13),ISNUMBER(P12),ISNUMBER('Veterinary Services'!$J$19),ISNUMBER('Assumptions'!$D$64),ISNUMBER('Assumptions'!$D$88)),(P13+P12*'Veterinary Services'!$J$19*'Assumptions'!$D$64)*'Assumptions'!$D$88,"n.a."),"n.a.")</x:f>
        <x:v>150577</x:v>
      </x:c>
      <x:c r="Q14" s="51" t="n">
        <x:f>IF(AND('Veterinary Services'!N20="OK"),IF(AND(ISNUMBER(Q13),ISNUMBER(Q12),ISNUMBER('Veterinary Services'!$J$20),ISNUMBER('Assumptions'!$D$64),ISNUMBER('Assumptions'!$D$88)),(Q13+Q12*'Veterinary Services'!$J$20*'Assumptions'!$D$64)*'Assumptions'!$D$88,"n.a."),"n.a.")</x:f>
        <x:v>150577</x:v>
      </x:c>
      <x:c r="R14" s="51" t="n">
        <x:f>IF(AND('Veterinary Services'!N21="OK"),IF(AND(ISNUMBER(R13),ISNUMBER(R12),ISNUMBER('Veterinary Services'!$J$21),ISNUMBER('Assumptions'!$D$64),ISNUMBER('Assumptions'!$D$88)),(R13+R12*'Veterinary Services'!$J$21*'Assumptions'!$D$64)*'Assumptions'!$D$88,"n.a."),"n.a.")</x:f>
        <x:v>150577</x:v>
      </x:c>
    </x:row>
    <x:row r="15" ht="21" customHeight="1">
      <x:c r="A15" s="2"/>
      <x:c r="B15" s="2"/>
      <x:c r="C15" s="2" t="str">
        <x:v>Staff, clinical supplies and boarding costs</x:v>
      </x:c>
      <x:c r="D15" s="2" t="str">
        <x:v>USD</x:v>
      </x:c>
      <x:c r="E15" s="52" t="n">
        <x:f>IF(COUNT(G15:R15)=12,SUM(G15:R15),"n.a.")</x:f>
        <x:v>1131720</x:v>
      </x:c>
      <x:c r="F15" s="2"/>
      <x:c r="G15" s="51" t="n">
        <x:f>IF(AND('Veterinary Services'!N10="OK"),IF(AND(ISNUMBER('Veterinary Services'!$K$10),ISNUMBER(G13),ISNUMBER('Veterinary Services'!$L$10),ISNUMBER(G12),ISNUMBER('Assumptions'!$D$91),ISNUMBER('Assumptions'!$D$94),ISNUMBER('Assumptions'!$D$67)),('Veterinary Services'!$K$10+G13*'Veterinary Services'!$L$10+G12*'Assumptions'!$D$91+'Assumptions'!$D$94)*'Assumptions'!$D$67,"n.a."),"n.a.")</x:f>
        <x:v>94310</x:v>
      </x:c>
      <x:c r="H15" s="51" t="n">
        <x:f>IF(AND('Veterinary Services'!N11="OK"),IF(AND(ISNUMBER('Veterinary Services'!$K$11),ISNUMBER(H13),ISNUMBER('Veterinary Services'!$L$11),ISNUMBER(H12),ISNUMBER('Assumptions'!$D$91),ISNUMBER('Assumptions'!$D$94),ISNUMBER('Assumptions'!$D$67)),('Veterinary Services'!$K$11+H13*'Veterinary Services'!$L$11+H12*'Assumptions'!$D$91+'Assumptions'!$D$94)*'Assumptions'!$D$67,"n.a."),"n.a.")</x:f>
        <x:v>94310</x:v>
      </x:c>
      <x:c r="I15" s="51" t="n">
        <x:f>IF(AND('Veterinary Services'!N12="OK"),IF(AND(ISNUMBER('Veterinary Services'!$K$12),ISNUMBER(I13),ISNUMBER('Veterinary Services'!$L$12),ISNUMBER(I12),ISNUMBER('Assumptions'!$D$91),ISNUMBER('Assumptions'!$D$94),ISNUMBER('Assumptions'!$D$67)),('Veterinary Services'!$K$12+I13*'Veterinary Services'!$L$12+I12*'Assumptions'!$D$91+'Assumptions'!$D$94)*'Assumptions'!$D$67,"n.a."),"n.a.")</x:f>
        <x:v>94310</x:v>
      </x:c>
      <x:c r="J15" s="51" t="n">
        <x:f>IF(AND('Veterinary Services'!N13="OK"),IF(AND(ISNUMBER('Veterinary Services'!$K$13),ISNUMBER(J13),ISNUMBER('Veterinary Services'!$L$13),ISNUMBER(J12),ISNUMBER('Assumptions'!$D$91),ISNUMBER('Assumptions'!$D$94),ISNUMBER('Assumptions'!$D$67)),('Veterinary Services'!$K$13+J13*'Veterinary Services'!$L$13+J12*'Assumptions'!$D$91+'Assumptions'!$D$94)*'Assumptions'!$D$67,"n.a."),"n.a.")</x:f>
        <x:v>94310</x:v>
      </x:c>
      <x:c r="K15" s="51" t="n">
        <x:f>IF(AND('Veterinary Services'!N14="OK"),IF(AND(ISNUMBER('Veterinary Services'!$K$14),ISNUMBER(K13),ISNUMBER('Veterinary Services'!$L$14),ISNUMBER(K12),ISNUMBER('Assumptions'!$D$91),ISNUMBER('Assumptions'!$D$94),ISNUMBER('Assumptions'!$D$67)),('Veterinary Services'!$K$14+K13*'Veterinary Services'!$L$14+K12*'Assumptions'!$D$91+'Assumptions'!$D$94)*'Assumptions'!$D$67,"n.a."),"n.a.")</x:f>
        <x:v>94310</x:v>
      </x:c>
      <x:c r="L15" s="51" t="n">
        <x:f>IF(AND('Veterinary Services'!N15="OK"),IF(AND(ISNUMBER('Veterinary Services'!$K$15),ISNUMBER(L13),ISNUMBER('Veterinary Services'!$L$15),ISNUMBER(L12),ISNUMBER('Assumptions'!$D$91),ISNUMBER('Assumptions'!$D$94),ISNUMBER('Assumptions'!$D$67)),('Veterinary Services'!$K$15+L13*'Veterinary Services'!$L$15+L12*'Assumptions'!$D$91+'Assumptions'!$D$94)*'Assumptions'!$D$67,"n.a."),"n.a.")</x:f>
        <x:v>94310</x:v>
      </x:c>
      <x:c r="M15" s="51" t="n">
        <x:f>IF(AND('Veterinary Services'!N16="OK"),IF(AND(ISNUMBER('Veterinary Services'!$K$16),ISNUMBER(M13),ISNUMBER('Veterinary Services'!$L$16),ISNUMBER(M12),ISNUMBER('Assumptions'!$D$91),ISNUMBER('Assumptions'!$D$94),ISNUMBER('Assumptions'!$D$67)),('Veterinary Services'!$K$16+M13*'Veterinary Services'!$L$16+M12*'Assumptions'!$D$91+'Assumptions'!$D$94)*'Assumptions'!$D$67,"n.a."),"n.a.")</x:f>
        <x:v>94310</x:v>
      </x:c>
      <x:c r="N15" s="51" t="n">
        <x:f>IF(AND('Veterinary Services'!N17="OK"),IF(AND(ISNUMBER('Veterinary Services'!$K$17),ISNUMBER(N13),ISNUMBER('Veterinary Services'!$L$17),ISNUMBER(N12),ISNUMBER('Assumptions'!$D$91),ISNUMBER('Assumptions'!$D$94),ISNUMBER('Assumptions'!$D$67)),('Veterinary Services'!$K$17+N13*'Veterinary Services'!$L$17+N12*'Assumptions'!$D$91+'Assumptions'!$D$94)*'Assumptions'!$D$67,"n.a."),"n.a.")</x:f>
        <x:v>94310</x:v>
      </x:c>
      <x:c r="O15" s="51" t="n">
        <x:f>IF(AND('Veterinary Services'!N18="OK"),IF(AND(ISNUMBER('Veterinary Services'!$K$18),ISNUMBER(O13),ISNUMBER('Veterinary Services'!$L$18),ISNUMBER(O12),ISNUMBER('Assumptions'!$D$91),ISNUMBER('Assumptions'!$D$94),ISNUMBER('Assumptions'!$D$67)),('Veterinary Services'!$K$18+O13*'Veterinary Services'!$L$18+O12*'Assumptions'!$D$91+'Assumptions'!$D$94)*'Assumptions'!$D$67,"n.a."),"n.a.")</x:f>
        <x:v>94310</x:v>
      </x:c>
      <x:c r="P15" s="51" t="n">
        <x:f>IF(AND('Veterinary Services'!N19="OK"),IF(AND(ISNUMBER('Veterinary Services'!$K$19),ISNUMBER(P13),ISNUMBER('Veterinary Services'!$L$19),ISNUMBER(P12),ISNUMBER('Assumptions'!$D$91),ISNUMBER('Assumptions'!$D$94),ISNUMBER('Assumptions'!$D$67)),('Veterinary Services'!$K$19+P13*'Veterinary Services'!$L$19+P12*'Assumptions'!$D$91+'Assumptions'!$D$94)*'Assumptions'!$D$67,"n.a."),"n.a.")</x:f>
        <x:v>94310</x:v>
      </x:c>
      <x:c r="Q15" s="51" t="n">
        <x:f>IF(AND('Veterinary Services'!N20="OK"),IF(AND(ISNUMBER('Veterinary Services'!$K$20),ISNUMBER(Q13),ISNUMBER('Veterinary Services'!$L$20),ISNUMBER(Q12),ISNUMBER('Assumptions'!$D$91),ISNUMBER('Assumptions'!$D$94),ISNUMBER('Assumptions'!$D$67)),('Veterinary Services'!$K$20+Q13*'Veterinary Services'!$L$20+Q12*'Assumptions'!$D$91+'Assumptions'!$D$94)*'Assumptions'!$D$67,"n.a."),"n.a.")</x:f>
        <x:v>94310</x:v>
      </x:c>
      <x:c r="R15" s="51" t="n">
        <x:f>IF(AND('Veterinary Services'!N21="OK"),IF(AND(ISNUMBER('Veterinary Services'!$K$21),ISNUMBER(R13),ISNUMBER('Veterinary Services'!$L$21),ISNUMBER(R12),ISNUMBER('Assumptions'!$D$91),ISNUMBER('Assumptions'!$D$94),ISNUMBER('Assumptions'!$D$67)),('Veterinary Services'!$K$21+R13*'Veterinary Services'!$L$21+R12*'Assumptions'!$D$91+'Assumptions'!$D$94)*'Assumptions'!$D$67,"n.a."),"n.a.")</x:f>
        <x:v>94310</x:v>
      </x:c>
    </x:row>
    <x:row r="16" ht="21" customHeight="1">
      <x:c r="A16" s="2"/>
      <x:c r="B16" s="2"/>
      <x:c r="C16" s="2" t="str">
        <x:v>Related rent eliminated in combined cash</x:v>
      </x:c>
      <x:c r="D16" s="2" t="str">
        <x:v>USD</x:v>
      </x:c>
      <x:c r="E16" s="52" t="n">
        <x:f>IF(COUNT(G16:R16)=12,SUM(G16:R16),"n.a.")</x:f>
        <x:v>144000</x:v>
      </x:c>
      <x:c r="F16" s="2"/>
      <x:c r="G16" s="51" t="n">
        <x:f>IF(AND(ISNUMBER('Assumptions'!$D$73)),'Assumptions'!$D$73,"n.a.")</x:f>
        <x:v>12000</x:v>
      </x:c>
      <x:c r="H16" s="51" t="n">
        <x:f>IF(AND(ISNUMBER('Assumptions'!$D$73)),'Assumptions'!$D$73,"n.a.")</x:f>
        <x:v>12000</x:v>
      </x:c>
      <x:c r="I16" s="51" t="n">
        <x:f>IF(AND(ISNUMBER('Assumptions'!$D$73)),'Assumptions'!$D$73,"n.a.")</x:f>
        <x:v>12000</x:v>
      </x:c>
      <x:c r="J16" s="51" t="n">
        <x:f>IF(AND(ISNUMBER('Assumptions'!$D$73)),'Assumptions'!$D$73,"n.a.")</x:f>
        <x:v>12000</x:v>
      </x:c>
      <x:c r="K16" s="51" t="n">
        <x:f>IF(AND(ISNUMBER('Assumptions'!$D$73)),'Assumptions'!$D$73,"n.a.")</x:f>
        <x:v>12000</x:v>
      </x:c>
      <x:c r="L16" s="51" t="n">
        <x:f>IF(AND(ISNUMBER('Assumptions'!$D$73)),'Assumptions'!$D$73,"n.a.")</x:f>
        <x:v>12000</x:v>
      </x:c>
      <x:c r="M16" s="51" t="n">
        <x:f>IF(AND(ISNUMBER('Assumptions'!$D$73)),'Assumptions'!$D$73,"n.a.")</x:f>
        <x:v>12000</x:v>
      </x:c>
      <x:c r="N16" s="51" t="n">
        <x:f>IF(AND(ISNUMBER('Assumptions'!$D$73)),'Assumptions'!$D$73,"n.a.")</x:f>
        <x:v>12000</x:v>
      </x:c>
      <x:c r="O16" s="51" t="n">
        <x:f>IF(AND(ISNUMBER('Assumptions'!$D$73)),'Assumptions'!$D$73,"n.a.")</x:f>
        <x:v>12000</x:v>
      </x:c>
      <x:c r="P16" s="51" t="n">
        <x:f>IF(AND(ISNUMBER('Assumptions'!$D$73)),'Assumptions'!$D$73,"n.a.")</x:f>
        <x:v>12000</x:v>
      </x:c>
      <x:c r="Q16" s="51" t="n">
        <x:f>IF(AND(ISNUMBER('Assumptions'!$D$73)),'Assumptions'!$D$73,"n.a.")</x:f>
        <x:v>12000</x:v>
      </x:c>
      <x:c r="R16" s="51" t="n">
        <x:f>IF(AND(ISNUMBER('Assumptions'!$D$73)),'Assumptions'!$D$73,"n.a.")</x:f>
        <x:v>12000</x:v>
      </x:c>
    </x:row>
    <x:row r="17" ht="21" customHeight="1">
      <x:c r="A17" s="2"/>
      <x:c r="B17" s="2"/>
      <x:c r="C17" s="2" t="str">
        <x:v>Business receipts less related rent</x:v>
      </x:c>
      <x:c r="D17" s="2" t="str">
        <x:v>USD</x:v>
      </x:c>
      <x:c r="E17" s="52" t="n">
        <x:f>IF(COUNT(G17:R17)=12,SUM(G17:R17),"n.a.")</x:f>
        <x:v>1662924</x:v>
      </x:c>
      <x:c r="F17" s="2"/>
      <x:c r="G17" s="52" t="n">
        <x:f>IF(AND(ISNUMBER(G14),ISNUMBER(G16)),G14-G16,"n.a.")</x:f>
        <x:v>138577</x:v>
      </x:c>
      <x:c r="H17" s="52" t="n">
        <x:f>IF(AND(ISNUMBER(H14),ISNUMBER(H16)),H14-H16,"n.a.")</x:f>
        <x:v>138577</x:v>
      </x:c>
      <x:c r="I17" s="52" t="n">
        <x:f>IF(AND(ISNUMBER(I14),ISNUMBER(I16)),I14-I16,"n.a.")</x:f>
        <x:v>138577</x:v>
      </x:c>
      <x:c r="J17" s="52" t="n">
        <x:f>IF(AND(ISNUMBER(J14),ISNUMBER(J16)),J14-J16,"n.a.")</x:f>
        <x:v>138577</x:v>
      </x:c>
      <x:c r="K17" s="52" t="n">
        <x:f>IF(AND(ISNUMBER(K14),ISNUMBER(K16)),K14-K16,"n.a.")</x:f>
        <x:v>138577</x:v>
      </x:c>
      <x:c r="L17" s="52" t="n">
        <x:f>IF(AND(ISNUMBER(L14),ISNUMBER(L16)),L14-L16,"n.a.")</x:f>
        <x:v>138577</x:v>
      </x:c>
      <x:c r="M17" s="52" t="n">
        <x:f>IF(AND(ISNUMBER(M14),ISNUMBER(M16)),M14-M16,"n.a.")</x:f>
        <x:v>138577</x:v>
      </x:c>
      <x:c r="N17" s="52" t="n">
        <x:f>IF(AND(ISNUMBER(N14),ISNUMBER(N16)),N14-N16,"n.a.")</x:f>
        <x:v>138577</x:v>
      </x:c>
      <x:c r="O17" s="52" t="n">
        <x:f>IF(AND(ISNUMBER(O14),ISNUMBER(O16)),O14-O16,"n.a.")</x:f>
        <x:v>138577</x:v>
      </x:c>
      <x:c r="P17" s="52" t="n">
        <x:f>IF(AND(ISNUMBER(P14),ISNUMBER(P16)),P14-P16,"n.a.")</x:f>
        <x:v>138577</x:v>
      </x:c>
      <x:c r="Q17" s="52" t="n">
        <x:f>IF(AND(ISNUMBER(Q14),ISNUMBER(Q16)),Q14-Q16,"n.a.")</x:f>
        <x:v>138577</x:v>
      </x:c>
      <x:c r="R17" s="52" t="n">
        <x:f>IF(AND(ISNUMBER(R14),ISNUMBER(R16)),R14-R16,"n.a.")</x:f>
        <x:v>138577</x:v>
      </x:c>
    </x:row>
    <x:row r="18" ht="21" customHeight="1">
      <x:c r="A18" s="2"/>
      <x:c r="B18" s="2"/>
      <x:c r="C18" s="56" t="str">
        <x:v>Combined receipts before outside obligations</x:v>
      </x:c>
      <x:c r="D18" s="56" t="str">
        <x:v>USD</x:v>
      </x:c>
      <x:c r="E18" s="57" t="n">
        <x:f>IF(COUNT(G18:R18)=12,SUM(G18:R18),"n.a.")</x:f>
        <x:v>1806924</x:v>
      </x:c>
      <x:c r="F18" s="56"/>
      <x:c r="G18" s="57" t="n">
        <x:f>IF(AND(ISNUMBER(G17),ISNUMBER(G16)),G17+G16,"n.a.")</x:f>
        <x:v>150577</x:v>
      </x:c>
      <x:c r="H18" s="57" t="n">
        <x:f>IF(AND(ISNUMBER(H17),ISNUMBER(H16)),H17+H16,"n.a.")</x:f>
        <x:v>150577</x:v>
      </x:c>
      <x:c r="I18" s="57" t="n">
        <x:f>IF(AND(ISNUMBER(I17),ISNUMBER(I16)),I17+I16,"n.a.")</x:f>
        <x:v>150577</x:v>
      </x:c>
      <x:c r="J18" s="57" t="n">
        <x:f>IF(AND(ISNUMBER(J17),ISNUMBER(J16)),J17+J16,"n.a.")</x:f>
        <x:v>150577</x:v>
      </x:c>
      <x:c r="K18" s="57" t="n">
        <x:f>IF(AND(ISNUMBER(K17),ISNUMBER(K16)),K17+K16,"n.a.")</x:f>
        <x:v>150577</x:v>
      </x:c>
      <x:c r="L18" s="57" t="n">
        <x:f>IF(AND(ISNUMBER(L17),ISNUMBER(L16)),L17+L16,"n.a.")</x:f>
        <x:v>150577</x:v>
      </x:c>
      <x:c r="M18" s="57" t="n">
        <x:f>IF(AND(ISNUMBER(M17),ISNUMBER(M16)),M17+M16,"n.a.")</x:f>
        <x:v>150577</x:v>
      </x:c>
      <x:c r="N18" s="57" t="n">
        <x:f>IF(AND(ISNUMBER(N17),ISNUMBER(N16)),N17+N16,"n.a.")</x:f>
        <x:v>150577</x:v>
      </x:c>
      <x:c r="O18" s="57" t="n">
        <x:f>IF(AND(ISNUMBER(O17),ISNUMBER(O16)),O17+O16,"n.a.")</x:f>
        <x:v>150577</x:v>
      </x:c>
      <x:c r="P18" s="57" t="n">
        <x:f>IF(AND(ISNUMBER(P17),ISNUMBER(P16)),P17+P16,"n.a.")</x:f>
        <x:v>150577</x:v>
      </x:c>
      <x:c r="Q18" s="57" t="n">
        <x:f>IF(AND(ISNUMBER(Q17),ISNUMBER(Q16)),Q17+Q16,"n.a.")</x:f>
        <x:v>150577</x:v>
      </x:c>
      <x:c r="R18" s="57" t="n">
        <x:f>IF(AND(ISNUMBER(R17),ISNUMBER(R16)),R17+R16,"n.a.")</x:f>
        <x:v>150577</x:v>
      </x:c>
    </x:row>
    <x:row r="19" ht="21" customHeight="1">
      <x:c r="A19" s="2"/>
      <x:c r="B19" s="2"/>
      <x:c r="C19" s="2" t="str">
        <x:v>External property cash costs</x:v>
      </x:c>
      <x:c r="D19" s="2" t="str">
        <x:v>USD</x:v>
      </x:c>
      <x:c r="E19" s="52" t="n">
        <x:f>IF(COUNT(G19:R19)=12,SUM(G19:R19),"n.a.")</x:f>
        <x:v>72000</x:v>
      </x:c>
      <x:c r="F19" s="2"/>
      <x:c r="G19" s="51" t="n">
        <x:f>IF(AND(ISNUMBER('Assumptions'!$D$76),ISNUMBER('Assumptions'!$D$67)),'Assumptions'!$D$76*'Assumptions'!$D$67,"n.a.")</x:f>
        <x:v>6000</x:v>
      </x:c>
      <x:c r="H19" s="51" t="n">
        <x:f>IF(AND(ISNUMBER('Assumptions'!$D$76),ISNUMBER('Assumptions'!$D$67)),'Assumptions'!$D$76*'Assumptions'!$D$67,"n.a.")</x:f>
        <x:v>6000</x:v>
      </x:c>
      <x:c r="I19" s="51" t="n">
        <x:f>IF(AND(ISNUMBER('Assumptions'!$D$76),ISNUMBER('Assumptions'!$D$67)),'Assumptions'!$D$76*'Assumptions'!$D$67,"n.a.")</x:f>
        <x:v>6000</x:v>
      </x:c>
      <x:c r="J19" s="51" t="n">
        <x:f>IF(AND(ISNUMBER('Assumptions'!$D$76),ISNUMBER('Assumptions'!$D$67)),'Assumptions'!$D$76*'Assumptions'!$D$67,"n.a.")</x:f>
        <x:v>6000</x:v>
      </x:c>
      <x:c r="K19" s="51" t="n">
        <x:f>IF(AND(ISNUMBER('Assumptions'!$D$76),ISNUMBER('Assumptions'!$D$67)),'Assumptions'!$D$76*'Assumptions'!$D$67,"n.a.")</x:f>
        <x:v>6000</x:v>
      </x:c>
      <x:c r="L19" s="51" t="n">
        <x:f>IF(AND(ISNUMBER('Assumptions'!$D$76),ISNUMBER('Assumptions'!$D$67)),'Assumptions'!$D$76*'Assumptions'!$D$67,"n.a.")</x:f>
        <x:v>6000</x:v>
      </x:c>
      <x:c r="M19" s="51" t="n">
        <x:f>IF(AND(ISNUMBER('Assumptions'!$D$76),ISNUMBER('Assumptions'!$D$67)),'Assumptions'!$D$76*'Assumptions'!$D$67,"n.a.")</x:f>
        <x:v>6000</x:v>
      </x:c>
      <x:c r="N19" s="51" t="n">
        <x:f>IF(AND(ISNUMBER('Assumptions'!$D$76),ISNUMBER('Assumptions'!$D$67)),'Assumptions'!$D$76*'Assumptions'!$D$67,"n.a.")</x:f>
        <x:v>6000</x:v>
      </x:c>
      <x:c r="O19" s="51" t="n">
        <x:f>IF(AND(ISNUMBER('Assumptions'!$D$76),ISNUMBER('Assumptions'!$D$67)),'Assumptions'!$D$76*'Assumptions'!$D$67,"n.a.")</x:f>
        <x:v>6000</x:v>
      </x:c>
      <x:c r="P19" s="51" t="n">
        <x:f>IF(AND(ISNUMBER('Assumptions'!$D$76),ISNUMBER('Assumptions'!$D$67)),'Assumptions'!$D$76*'Assumptions'!$D$67,"n.a.")</x:f>
        <x:v>6000</x:v>
      </x:c>
      <x:c r="Q19" s="51" t="n">
        <x:f>IF(AND(ISNUMBER('Assumptions'!$D$76),ISNUMBER('Assumptions'!$D$67)),'Assumptions'!$D$76*'Assumptions'!$D$67,"n.a.")</x:f>
        <x:v>6000</x:v>
      </x:c>
      <x:c r="R19" s="51" t="n">
        <x:f>IF(AND(ISNUMBER('Assumptions'!$D$76),ISNUMBER('Assumptions'!$D$67)),'Assumptions'!$D$76*'Assumptions'!$D$67,"n.a.")</x:f>
        <x:v>6000</x:v>
      </x:c>
    </x:row>
    <x:row r="20" ht="21" customHeight="1">
      <x:c r="A20" s="2"/>
      <x:c r="B20" s="2"/>
      <x:c r="C20" s="2" t="str">
        <x:v>Other business debt service</x:v>
      </x:c>
      <x:c r="D20" s="2" t="str">
        <x:v>USD</x:v>
      </x:c>
      <x:c r="E20" s="52" t="n">
        <x:f>IF(COUNT(G20:R20)=12,SUM(G20:R20),"n.a.")</x:f>
        <x:v>72000</x:v>
      </x:c>
      <x:c r="F20" s="2"/>
      <x:c r="G20" s="51" t="n">
        <x:f>IF(AND(ISNUMBER('Assumptions'!$D$79)),'Assumptions'!$D$79,"n.a.")</x:f>
        <x:v>6000</x:v>
      </x:c>
      <x:c r="H20" s="51" t="n">
        <x:f>IF(AND(ISNUMBER('Assumptions'!$D$79)),'Assumptions'!$D$79,"n.a.")</x:f>
        <x:v>6000</x:v>
      </x:c>
      <x:c r="I20" s="51" t="n">
        <x:f>IF(AND(ISNUMBER('Assumptions'!$D$79)),'Assumptions'!$D$79,"n.a.")</x:f>
        <x:v>6000</x:v>
      </x:c>
      <x:c r="J20" s="51" t="n">
        <x:f>IF(AND(ISNUMBER('Assumptions'!$D$79)),'Assumptions'!$D$79,"n.a.")</x:f>
        <x:v>6000</x:v>
      </x:c>
      <x:c r="K20" s="51" t="n">
        <x:f>IF(AND(ISNUMBER('Assumptions'!$D$79)),'Assumptions'!$D$79,"n.a.")</x:f>
        <x:v>6000</x:v>
      </x:c>
      <x:c r="L20" s="51" t="n">
        <x:f>IF(AND(ISNUMBER('Assumptions'!$D$79)),'Assumptions'!$D$79,"n.a.")</x:f>
        <x:v>6000</x:v>
      </x:c>
      <x:c r="M20" s="51" t="n">
        <x:f>IF(AND(ISNUMBER('Assumptions'!$D$79)),'Assumptions'!$D$79,"n.a.")</x:f>
        <x:v>6000</x:v>
      </x:c>
      <x:c r="N20" s="51" t="n">
        <x:f>IF(AND(ISNUMBER('Assumptions'!$D$79)),'Assumptions'!$D$79,"n.a.")</x:f>
        <x:v>6000</x:v>
      </x:c>
      <x:c r="O20" s="51" t="n">
        <x:f>IF(AND(ISNUMBER('Assumptions'!$D$79)),'Assumptions'!$D$79,"n.a.")</x:f>
        <x:v>6000</x:v>
      </x:c>
      <x:c r="P20" s="51" t="n">
        <x:f>IF(AND(ISNUMBER('Assumptions'!$D$79)),'Assumptions'!$D$79,"n.a.")</x:f>
        <x:v>6000</x:v>
      </x:c>
      <x:c r="Q20" s="51" t="n">
        <x:f>IF(AND(ISNUMBER('Assumptions'!$D$79)),'Assumptions'!$D$79,"n.a.")</x:f>
        <x:v>6000</x:v>
      </x:c>
      <x:c r="R20" s="51" t="n">
        <x:f>IF(AND(ISNUMBER('Assumptions'!$D$79)),'Assumptions'!$D$79,"n.a.")</x:f>
        <x:v>6000</x:v>
      </x:c>
    </x:row>
    <x:row r="21" ht="21" customHeight="1">
      <x:c r="A21" s="2"/>
      <x:c r="B21" s="2"/>
      <x:c r="C21" s="2" t="str">
        <x:v>Cash taxes and distributions</x:v>
      </x:c>
      <x:c r="D21" s="2" t="str">
        <x:v>USD</x:v>
      </x:c>
      <x:c r="E21" s="52" t="n">
        <x:f>IF(COUNT(G21:R21)=12,SUM(G21:R21),"n.a.")</x:f>
        <x:v>36000</x:v>
      </x:c>
      <x:c r="F21" s="2"/>
      <x:c r="G21" s="51" t="n">
        <x:f>IF(AND(ISNUMBER('Assumptions'!$D$82)),'Assumptions'!$D$82,"n.a.")</x:f>
        <x:v>3000</x:v>
      </x:c>
      <x:c r="H21" s="51" t="n">
        <x:f>IF(AND(ISNUMBER('Assumptions'!$D$82)),'Assumptions'!$D$82,"n.a.")</x:f>
        <x:v>3000</x:v>
      </x:c>
      <x:c r="I21" s="51" t="n">
        <x:f>IF(AND(ISNUMBER('Assumptions'!$D$82)),'Assumptions'!$D$82,"n.a.")</x:f>
        <x:v>3000</x:v>
      </x:c>
      <x:c r="J21" s="51" t="n">
        <x:f>IF(AND(ISNUMBER('Assumptions'!$D$82)),'Assumptions'!$D$82,"n.a.")</x:f>
        <x:v>3000</x:v>
      </x:c>
      <x:c r="K21" s="51" t="n">
        <x:f>IF(AND(ISNUMBER('Assumptions'!$D$82)),'Assumptions'!$D$82,"n.a.")</x:f>
        <x:v>3000</x:v>
      </x:c>
      <x:c r="L21" s="51" t="n">
        <x:f>IF(AND(ISNUMBER('Assumptions'!$D$82)),'Assumptions'!$D$82,"n.a.")</x:f>
        <x:v>3000</x:v>
      </x:c>
      <x:c r="M21" s="51" t="n">
        <x:f>IF(AND(ISNUMBER('Assumptions'!$D$82)),'Assumptions'!$D$82,"n.a.")</x:f>
        <x:v>3000</x:v>
      </x:c>
      <x:c r="N21" s="51" t="n">
        <x:f>IF(AND(ISNUMBER('Assumptions'!$D$82)),'Assumptions'!$D$82,"n.a.")</x:f>
        <x:v>3000</x:v>
      </x:c>
      <x:c r="O21" s="51" t="n">
        <x:f>IF(AND(ISNUMBER('Assumptions'!$D$82)),'Assumptions'!$D$82,"n.a.")</x:f>
        <x:v>3000</x:v>
      </x:c>
      <x:c r="P21" s="51" t="n">
        <x:f>IF(AND(ISNUMBER('Assumptions'!$D$82)),'Assumptions'!$D$82,"n.a.")</x:f>
        <x:v>3000</x:v>
      </x:c>
      <x:c r="Q21" s="51" t="n">
        <x:f>IF(AND(ISNUMBER('Assumptions'!$D$82)),'Assumptions'!$D$82,"n.a.")</x:f>
        <x:v>3000</x:v>
      </x:c>
      <x:c r="R21" s="51" t="n">
        <x:f>IF(AND(ISNUMBER('Assumptions'!$D$82)),'Assumptions'!$D$82,"n.a.")</x:f>
        <x:v>3000</x:v>
      </x:c>
    </x:row>
    <x:row r="22" ht="21" customHeight="1">
      <x:c r="A22" s="2"/>
      <x:c r="B22" s="2"/>
      <x:c r="C22" s="2" t="str">
        <x:v>Maintenance capital deducted once</x:v>
      </x:c>
      <x:c r="D22" s="2" t="str">
        <x:v>USD</x:v>
      </x:c>
      <x:c r="E22" s="52" t="n">
        <x:f>IF(COUNT(G22:R22)=12,SUM(G22:R22),"n.a.")</x:f>
        <x:v>18000</x:v>
      </x:c>
      <x:c r="F22" s="2"/>
      <x:c r="G22" s="51" t="n">
        <x:f>IF(AND(ISNUMBER('Assumptions'!$D$85),ISNUMBER('Assumptions'!$D$70)),'Assumptions'!$D$85*'Assumptions'!$D$70,"n.a.")</x:f>
        <x:v>1500</x:v>
      </x:c>
      <x:c r="H22" s="51" t="n">
        <x:f>IF(AND(ISNUMBER('Assumptions'!$D$85),ISNUMBER('Assumptions'!$D$70)),'Assumptions'!$D$85*'Assumptions'!$D$70,"n.a.")</x:f>
        <x:v>1500</x:v>
      </x:c>
      <x:c r="I22" s="51" t="n">
        <x:f>IF(AND(ISNUMBER('Assumptions'!$D$85),ISNUMBER('Assumptions'!$D$70)),'Assumptions'!$D$85*'Assumptions'!$D$70,"n.a.")</x:f>
        <x:v>1500</x:v>
      </x:c>
      <x:c r="J22" s="51" t="n">
        <x:f>IF(AND(ISNUMBER('Assumptions'!$D$85),ISNUMBER('Assumptions'!$D$70)),'Assumptions'!$D$85*'Assumptions'!$D$70,"n.a.")</x:f>
        <x:v>1500</x:v>
      </x:c>
      <x:c r="K22" s="51" t="n">
        <x:f>IF(AND(ISNUMBER('Assumptions'!$D$85),ISNUMBER('Assumptions'!$D$70)),'Assumptions'!$D$85*'Assumptions'!$D$70,"n.a.")</x:f>
        <x:v>1500</x:v>
      </x:c>
      <x:c r="L22" s="51" t="n">
        <x:f>IF(AND(ISNUMBER('Assumptions'!$D$85),ISNUMBER('Assumptions'!$D$70)),'Assumptions'!$D$85*'Assumptions'!$D$70,"n.a.")</x:f>
        <x:v>1500</x:v>
      </x:c>
      <x:c r="M22" s="51" t="n">
        <x:f>IF(AND(ISNUMBER('Assumptions'!$D$85),ISNUMBER('Assumptions'!$D$70)),'Assumptions'!$D$85*'Assumptions'!$D$70,"n.a.")</x:f>
        <x:v>1500</x:v>
      </x:c>
      <x:c r="N22" s="51" t="n">
        <x:f>IF(AND(ISNUMBER('Assumptions'!$D$85),ISNUMBER('Assumptions'!$D$70)),'Assumptions'!$D$85*'Assumptions'!$D$70,"n.a.")</x:f>
        <x:v>1500</x:v>
      </x:c>
      <x:c r="O22" s="51" t="n">
        <x:f>IF(AND(ISNUMBER('Assumptions'!$D$85),ISNUMBER('Assumptions'!$D$70)),'Assumptions'!$D$85*'Assumptions'!$D$70,"n.a.")</x:f>
        <x:v>1500</x:v>
      </x:c>
      <x:c r="P22" s="51" t="n">
        <x:f>IF(AND(ISNUMBER('Assumptions'!$D$85),ISNUMBER('Assumptions'!$D$70)),'Assumptions'!$D$85*'Assumptions'!$D$70,"n.a.")</x:f>
        <x:v>1500</x:v>
      </x:c>
      <x:c r="Q22" s="51" t="n">
        <x:f>IF(AND(ISNUMBER('Assumptions'!$D$85),ISNUMBER('Assumptions'!$D$70)),'Assumptions'!$D$85*'Assumptions'!$D$70,"n.a.")</x:f>
        <x:v>1500</x:v>
      </x:c>
      <x:c r="R22" s="51" t="n">
        <x:f>IF(AND(ISNUMBER('Assumptions'!$D$85),ISNUMBER('Assumptions'!$D$70)),'Assumptions'!$D$85*'Assumptions'!$D$70,"n.a.")</x:f>
        <x:v>1500</x:v>
      </x:c>
    </x:row>
    <x:row r="23" ht="21" customHeight="1">
      <x:c r="A23" s="2"/>
      <x:c r="B23" s="2"/>
      <x:c r="C23" s="2" t="str">
        <x:v>Operating and outside cash obligations</x:v>
      </x:c>
      <x:c r="D23" s="2" t="str">
        <x:v>USD</x:v>
      </x:c>
      <x:c r="E23" s="52" t="n">
        <x:f>IF(COUNT(G23:R23)=12,SUM(G23:R23),"n.a.")</x:f>
        <x:v>1329720</x:v>
      </x:c>
      <x:c r="F23" s="2"/>
      <x:c r="G23" s="52" t="n">
        <x:f>IF(AND(ISNUMBER(G15),ISNUMBER(G19),ISNUMBER(G20),ISNUMBER(G21),ISNUMBER(G22)),G15+G19+G20+G21+G22,"n.a.")</x:f>
        <x:v>110810</x:v>
      </x:c>
      <x:c r="H23" s="52" t="n">
        <x:f>IF(AND(ISNUMBER(H15),ISNUMBER(H19),ISNUMBER(H20),ISNUMBER(H21),ISNUMBER(H22)),H15+H19+H20+H21+H22,"n.a.")</x:f>
        <x:v>110810</x:v>
      </x:c>
      <x:c r="I23" s="52" t="n">
        <x:f>IF(AND(ISNUMBER(I15),ISNUMBER(I19),ISNUMBER(I20),ISNUMBER(I21),ISNUMBER(I22)),I15+I19+I20+I21+I22,"n.a.")</x:f>
        <x:v>110810</x:v>
      </x:c>
      <x:c r="J23" s="52" t="n">
        <x:f>IF(AND(ISNUMBER(J15),ISNUMBER(J19),ISNUMBER(J20),ISNUMBER(J21),ISNUMBER(J22)),J15+J19+J20+J21+J22,"n.a.")</x:f>
        <x:v>110810</x:v>
      </x:c>
      <x:c r="K23" s="52" t="n">
        <x:f>IF(AND(ISNUMBER(K15),ISNUMBER(K19),ISNUMBER(K20),ISNUMBER(K21),ISNUMBER(K22)),K15+K19+K20+K21+K22,"n.a.")</x:f>
        <x:v>110810</x:v>
      </x:c>
      <x:c r="L23" s="52" t="n">
        <x:f>IF(AND(ISNUMBER(L15),ISNUMBER(L19),ISNUMBER(L20),ISNUMBER(L21),ISNUMBER(L22)),L15+L19+L20+L21+L22,"n.a.")</x:f>
        <x:v>110810</x:v>
      </x:c>
      <x:c r="M23" s="52" t="n">
        <x:f>IF(AND(ISNUMBER(M15),ISNUMBER(M19),ISNUMBER(M20),ISNUMBER(M21),ISNUMBER(M22)),M15+M19+M20+M21+M22,"n.a.")</x:f>
        <x:v>110810</x:v>
      </x:c>
      <x:c r="N23" s="52" t="n">
        <x:f>IF(AND(ISNUMBER(N15),ISNUMBER(N19),ISNUMBER(N20),ISNUMBER(N21),ISNUMBER(N22)),N15+N19+N20+N21+N22,"n.a.")</x:f>
        <x:v>110810</x:v>
      </x:c>
      <x:c r="O23" s="52" t="n">
        <x:f>IF(AND(ISNUMBER(O15),ISNUMBER(O19),ISNUMBER(O20),ISNUMBER(O21),ISNUMBER(O22)),O15+O19+O20+O21+O22,"n.a.")</x:f>
        <x:v>110810</x:v>
      </x:c>
      <x:c r="P23" s="52" t="n">
        <x:f>IF(AND(ISNUMBER(P15),ISNUMBER(P19),ISNUMBER(P20),ISNUMBER(P21),ISNUMBER(P22)),P15+P19+P20+P21+P22,"n.a.")</x:f>
        <x:v>110810</x:v>
      </x:c>
      <x:c r="Q23" s="52" t="n">
        <x:f>IF(AND(ISNUMBER(Q15),ISNUMBER(Q19),ISNUMBER(Q20),ISNUMBER(Q21),ISNUMBER(Q22)),Q15+Q19+Q20+Q21+Q22,"n.a.")</x:f>
        <x:v>110810</x:v>
      </x:c>
      <x:c r="R23" s="52" t="n">
        <x:f>IF(AND(ISNUMBER(R15),ISNUMBER(R19),ISNUMBER(R20),ISNUMBER(R21),ISNUMBER(R22)),R15+R19+R20+R21+R22,"n.a.")</x:f>
        <x:v>110810</x:v>
      </x:c>
    </x:row>
    <x:row r="24" ht="21" customHeight="1">
      <x:c r="A24" s="2"/>
      <x:c r="B24" s="2"/>
      <x:c r="C24" s="2" t="str">
        <x:v>Additional expansion / property capital</x:v>
      </x:c>
      <x:c r="D24" s="2" t="str">
        <x:v>USD</x:v>
      </x:c>
      <x:c r="E24" s="52" t="n">
        <x:f>IF(COUNT(G24:R24)=12,SUM(G24:R24),"n.a.")</x:f>
        <x:v>70000</x:v>
      </x:c>
      <x:c r="F24" s="2"/>
      <x:c r="G24" s="51" t="n">
        <x:f>IF(AND('Veterinary Services'!N10="OK"),IF(AND(ISNUMBER('Veterinary Services'!$M$10),ISNUMBER('Assumptions'!$D$70)),'Veterinary Services'!$M$10*'Assumptions'!$D$70,"n.a."),"n.a.")</x:f>
        <x:v>0</x:v>
      </x:c>
      <x:c r="H24" s="51" t="n">
        <x:f>IF(AND('Veterinary Services'!N11="OK"),IF(AND(ISNUMBER('Veterinary Services'!$M$11),ISNUMBER('Assumptions'!$D$70)),'Veterinary Services'!$M$11*'Assumptions'!$D$70,"n.a."),"n.a.")</x:f>
        <x:v>0</x:v>
      </x:c>
      <x:c r="I24" s="51" t="n">
        <x:f>IF(AND('Veterinary Services'!N12="OK"),IF(AND(ISNUMBER('Veterinary Services'!$M$12),ISNUMBER('Assumptions'!$D$70)),'Veterinary Services'!$M$12*'Assumptions'!$D$70,"n.a."),"n.a.")</x:f>
        <x:v>0</x:v>
      </x:c>
      <x:c r="J24" s="51" t="n">
        <x:f>IF(AND('Veterinary Services'!N13="OK"),IF(AND(ISNUMBER('Veterinary Services'!$M$13),ISNUMBER('Assumptions'!$D$70)),'Veterinary Services'!$M$13*'Assumptions'!$D$70,"n.a."),"n.a.")</x:f>
        <x:v>0</x:v>
      </x:c>
      <x:c r="K24" s="51" t="n">
        <x:f>IF(AND('Veterinary Services'!N14="OK"),IF(AND(ISNUMBER('Veterinary Services'!$M$14),ISNUMBER('Assumptions'!$D$70)),'Veterinary Services'!$M$14*'Assumptions'!$D$70,"n.a."),"n.a.")</x:f>
        <x:v>0</x:v>
      </x:c>
      <x:c r="L24" s="51" t="n">
        <x:f>IF(AND('Veterinary Services'!N15="OK"),IF(AND(ISNUMBER('Veterinary Services'!$M$15),ISNUMBER('Assumptions'!$D$70)),'Veterinary Services'!$M$15*'Assumptions'!$D$70,"n.a."),"n.a.")</x:f>
        <x:v>0</x:v>
      </x:c>
      <x:c r="M24" s="51" t="n">
        <x:f>IF(AND('Veterinary Services'!N16="OK"),IF(AND(ISNUMBER('Veterinary Services'!$M$16),ISNUMBER('Assumptions'!$D$70)),'Veterinary Services'!$M$16*'Assumptions'!$D$70,"n.a."),"n.a.")</x:f>
        <x:v>70000</x:v>
      </x:c>
      <x:c r="N24" s="51" t="n">
        <x:f>IF(AND('Veterinary Services'!N17="OK"),IF(AND(ISNUMBER('Veterinary Services'!$M$17),ISNUMBER('Assumptions'!$D$70)),'Veterinary Services'!$M$17*'Assumptions'!$D$70,"n.a."),"n.a.")</x:f>
        <x:v>0</x:v>
      </x:c>
      <x:c r="O24" s="51" t="n">
        <x:f>IF(AND('Veterinary Services'!N18="OK"),IF(AND(ISNUMBER('Veterinary Services'!$M$18),ISNUMBER('Assumptions'!$D$70)),'Veterinary Services'!$M$18*'Assumptions'!$D$70,"n.a."),"n.a.")</x:f>
        <x:v>0</x:v>
      </x:c>
      <x:c r="P24" s="51" t="n">
        <x:f>IF(AND('Veterinary Services'!N19="OK"),IF(AND(ISNUMBER('Veterinary Services'!$M$19),ISNUMBER('Assumptions'!$D$70)),'Veterinary Services'!$M$19*'Assumptions'!$D$70,"n.a."),"n.a.")</x:f>
        <x:v>0</x:v>
      </x:c>
      <x:c r="Q24" s="51" t="n">
        <x:f>IF(AND('Veterinary Services'!N20="OK"),IF(AND(ISNUMBER('Veterinary Services'!$M$20),ISNUMBER('Assumptions'!$D$70)),'Veterinary Services'!$M$20*'Assumptions'!$D$70,"n.a."),"n.a.")</x:f>
        <x:v>0</x:v>
      </x:c>
      <x:c r="R24" s="51" t="n">
        <x:f>IF(AND('Veterinary Services'!N21="OK"),IF(AND(ISNUMBER('Veterinary Services'!$M$21),ISNUMBER('Assumptions'!$D$70)),'Veterinary Services'!$M$21*'Assumptions'!$D$70,"n.a."),"n.a.")</x:f>
        <x:v>0</x:v>
      </x:c>
    </x:row>
    <x:row r="25" ht="21" customHeight="1">
      <x:c r="A25" s="2"/>
      <x:c r="B25" s="2"/>
      <x:c r="C25" s="2" t="str">
        <x:v>Fixed property / entity costs</x:v>
      </x:c>
      <x:c r="D25" s="2" t="str">
        <x:v>USD</x:v>
      </x:c>
      <x:c r="E25" s="52" t="n">
        <x:f>IF(COUNT(G25:R25)=12,SUM(G25:R25),"n.a.")</x:f>
        <x:v>0</x:v>
      </x:c>
      <x:c r="F25" s="2"/>
      <x:c r="G25" s="51" t="n">
        <x:f>IF(AND(ISNUMBER('Assumptions'!$D$55)),'Assumptions'!$D$55/12,"n.a.")</x:f>
        <x:v>0</x:v>
      </x:c>
      <x:c r="H25" s="51" t="n">
        <x:f>IF(AND(ISNUMBER('Assumptions'!$D$55)),'Assumptions'!$D$55/12,"n.a.")</x:f>
        <x:v>0</x:v>
      </x:c>
      <x:c r="I25" s="51" t="n">
        <x:f>IF(AND(ISNUMBER('Assumptions'!$D$55)),'Assumptions'!$D$55/12,"n.a.")</x:f>
        <x:v>0</x:v>
      </x:c>
      <x:c r="J25" s="51" t="n">
        <x:f>IF(AND(ISNUMBER('Assumptions'!$D$55)),'Assumptions'!$D$55/12,"n.a.")</x:f>
        <x:v>0</x:v>
      </x:c>
      <x:c r="K25" s="51" t="n">
        <x:f>IF(AND(ISNUMBER('Assumptions'!$D$55)),'Assumptions'!$D$55/12,"n.a.")</x:f>
        <x:v>0</x:v>
      </x:c>
      <x:c r="L25" s="51" t="n">
        <x:f>IF(AND(ISNUMBER('Assumptions'!$D$55)),'Assumptions'!$D$55/12,"n.a.")</x:f>
        <x:v>0</x:v>
      </x:c>
      <x:c r="M25" s="51" t="n">
        <x:f>IF(AND(ISNUMBER('Assumptions'!$D$55)),'Assumptions'!$D$55/12,"n.a.")</x:f>
        <x:v>0</x:v>
      </x:c>
      <x:c r="N25" s="51" t="n">
        <x:f>IF(AND(ISNUMBER('Assumptions'!$D$55)),'Assumptions'!$D$55/12,"n.a.")</x:f>
        <x:v>0</x:v>
      </x:c>
      <x:c r="O25" s="51" t="n">
        <x:f>IF(AND(ISNUMBER('Assumptions'!$D$55)),'Assumptions'!$D$55/12,"n.a.")</x:f>
        <x:v>0</x:v>
      </x:c>
      <x:c r="P25" s="51" t="n">
        <x:f>IF(AND(ISNUMBER('Assumptions'!$D$55)),'Assumptions'!$D$55/12,"n.a.")</x:f>
        <x:v>0</x:v>
      </x:c>
      <x:c r="Q25" s="51" t="n">
        <x:f>IF(AND(ISNUMBER('Assumptions'!$D$55)),'Assumptions'!$D$55/12,"n.a.")</x:f>
        <x:v>0</x:v>
      </x:c>
      <x:c r="R25" s="51" t="n">
        <x:f>IF(AND(ISNUMBER('Assumptions'!$D$55)),'Assumptions'!$D$55/12,"n.a.")</x:f>
        <x:v>0</x:v>
      </x:c>
    </x:row>
    <x:row r="26" ht="21" customHeight="1">
      <x:c r="A26" s="2"/>
      <x:c r="B26" s="2"/>
      <x:c r="C26" s="56" t="str">
        <x:v>Total cash operating costs</x:v>
      </x:c>
      <x:c r="D26" s="56" t="str">
        <x:v>USD</x:v>
      </x:c>
      <x:c r="E26" s="57" t="n">
        <x:f>IF(COUNT(G26:R26)=12,SUM(G26:R26),"n.a.")</x:f>
        <x:v>1329720</x:v>
      </x:c>
      <x:c r="F26" s="56"/>
      <x:c r="G26" s="57" t="n">
        <x:f>IF(AND(ISNUMBER(G23),ISNUMBER(G25)),G23+G25,"n.a.")</x:f>
        <x:v>110810</x:v>
      </x:c>
      <x:c r="H26" s="57" t="n">
        <x:f>IF(AND(ISNUMBER(H23),ISNUMBER(H25)),H23+H25,"n.a.")</x:f>
        <x:v>110810</x:v>
      </x:c>
      <x:c r="I26" s="57" t="n">
        <x:f>IF(AND(ISNUMBER(I23),ISNUMBER(I25)),I23+I25,"n.a.")</x:f>
        <x:v>110810</x:v>
      </x:c>
      <x:c r="J26" s="57" t="n">
        <x:f>IF(AND(ISNUMBER(J23),ISNUMBER(J25)),J23+J25,"n.a.")</x:f>
        <x:v>110810</x:v>
      </x:c>
      <x:c r="K26" s="57" t="n">
        <x:f>IF(AND(ISNUMBER(K23),ISNUMBER(K25)),K23+K25,"n.a.")</x:f>
        <x:v>110810</x:v>
      </x:c>
      <x:c r="L26" s="57" t="n">
        <x:f>IF(AND(ISNUMBER(L23),ISNUMBER(L25)),L23+L25,"n.a.")</x:f>
        <x:v>110810</x:v>
      </x:c>
      <x:c r="M26" s="57" t="n">
        <x:f>IF(AND(ISNUMBER(M23),ISNUMBER(M25)),M23+M25,"n.a.")</x:f>
        <x:v>110810</x:v>
      </x:c>
      <x:c r="N26" s="57" t="n">
        <x:f>IF(AND(ISNUMBER(N23),ISNUMBER(N25)),N23+N25,"n.a.")</x:f>
        <x:v>110810</x:v>
      </x:c>
      <x:c r="O26" s="57" t="n">
        <x:f>IF(AND(ISNUMBER(O23),ISNUMBER(O25)),O23+O25,"n.a.")</x:f>
        <x:v>110810</x:v>
      </x:c>
      <x:c r="P26" s="57" t="n">
        <x:f>IF(AND(ISNUMBER(P23),ISNUMBER(P25)),P23+P25,"n.a.")</x:f>
        <x:v>110810</x:v>
      </x:c>
      <x:c r="Q26" s="57" t="n">
        <x:f>IF(AND(ISNUMBER(Q23),ISNUMBER(Q25)),Q23+Q25,"n.a.")</x:f>
        <x:v>110810</x:v>
      </x:c>
      <x:c r="R26" s="57" t="n">
        <x:f>IF(AND(ISNUMBER(R23),ISNUMBER(R25)),R23+R25,"n.a.")</x:f>
        <x:v>110810</x:v>
      </x:c>
    </x:row>
    <x:row r="27" ht="21" customHeight="1">
      <x:c r="A27" s="2"/>
      <x:c r="B27" s="2"/>
      <x:c r="C27" s="56" t="str">
        <x:v>Combined cash after listed obligations</x:v>
      </x:c>
      <x:c r="D27" s="56" t="str">
        <x:v>USD</x:v>
      </x:c>
      <x:c r="E27" s="57" t="n">
        <x:f>IF(COUNT(G27:R27)=12,SUM(G27:R27),"n.a.")</x:f>
        <x:v>477204</x:v>
      </x:c>
      <x:c r="F27" s="56"/>
      <x:c r="G27" s="57" t="n">
        <x:f>IF(AND(ISNUMBER(G18),ISNUMBER(G26)),G18-G26,"n.a.")</x:f>
        <x:v>39767</x:v>
      </x:c>
      <x:c r="H27" s="57" t="n">
        <x:f>IF(AND(ISNUMBER(H18),ISNUMBER(H26)),H18-H26,"n.a.")</x:f>
        <x:v>39767</x:v>
      </x:c>
      <x:c r="I27" s="57" t="n">
        <x:f>IF(AND(ISNUMBER(I18),ISNUMBER(I26)),I18-I26,"n.a.")</x:f>
        <x:v>39767</x:v>
      </x:c>
      <x:c r="J27" s="57" t="n">
        <x:f>IF(AND(ISNUMBER(J18),ISNUMBER(J26)),J18-J26,"n.a.")</x:f>
        <x:v>39767</x:v>
      </x:c>
      <x:c r="K27" s="57" t="n">
        <x:f>IF(AND(ISNUMBER(K18),ISNUMBER(K26)),K18-K26,"n.a.")</x:f>
        <x:v>39767</x:v>
      </x:c>
      <x:c r="L27" s="57" t="n">
        <x:f>IF(AND(ISNUMBER(L18),ISNUMBER(L26)),L18-L26,"n.a.")</x:f>
        <x:v>39767</x:v>
      </x:c>
      <x:c r="M27" s="57" t="n">
        <x:f>IF(AND(ISNUMBER(M18),ISNUMBER(M26)),M18-M26,"n.a.")</x:f>
        <x:v>39767</x:v>
      </x:c>
      <x:c r="N27" s="57" t="n">
        <x:f>IF(AND(ISNUMBER(N18),ISNUMBER(N26)),N18-N26,"n.a.")</x:f>
        <x:v>39767</x:v>
      </x:c>
      <x:c r="O27" s="57" t="n">
        <x:f>IF(AND(ISNUMBER(O18),ISNUMBER(O26)),O18-O26,"n.a.")</x:f>
        <x:v>39767</x:v>
      </x:c>
      <x:c r="P27" s="57" t="n">
        <x:f>IF(AND(ISNUMBER(P18),ISNUMBER(P26)),P18-P26,"n.a.")</x:f>
        <x:v>39767</x:v>
      </x:c>
      <x:c r="Q27" s="57" t="n">
        <x:f>IF(AND(ISNUMBER(Q18),ISNUMBER(Q26)),Q18-Q26,"n.a.")</x:f>
        <x:v>39767</x:v>
      </x:c>
      <x:c r="R27" s="57" t="n">
        <x:f>IF(AND(ISNUMBER(R18),ISNUMBER(R26)),R18-R26,"n.a.")</x:f>
        <x:v>39767</x:v>
      </x:c>
    </x:row>
    <x:row r="28" ht="21" customHeight="1">
      <x:c r="A28" s="2"/>
      <x:c r="B28" s="2"/>
      <x:c r="C28" s="2" t="str">
        <x:v>Cash replacement reserve deposits</x:v>
      </x:c>
      <x:c r="D28" s="2" t="str">
        <x:v>USD</x:v>
      </x:c>
      <x:c r="E28" s="52" t="n">
        <x:f>IF(COUNT(G28:R28)=12,SUM(G28:R28),"n.a.")</x:f>
        <x:v>0</x:v>
      </x:c>
      <x:c r="F28" s="2"/>
      <x:c r="G28" s="51" t="n">
        <x:f>IF(AND(ISNUMBER(G18),ISNUMBER('Assumptions'!$D$58)),MAX(0,G18)*'Assumptions'!$D$58,"n.a.")</x:f>
        <x:v>0</x:v>
      </x:c>
      <x:c r="H28" s="51" t="n">
        <x:f>IF(AND(ISNUMBER(H18),ISNUMBER('Assumptions'!$D$58)),MAX(0,H18)*'Assumptions'!$D$58,"n.a.")</x:f>
        <x:v>0</x:v>
      </x:c>
      <x:c r="I28" s="51" t="n">
        <x:f>IF(AND(ISNUMBER(I18),ISNUMBER('Assumptions'!$D$58)),MAX(0,I18)*'Assumptions'!$D$58,"n.a.")</x:f>
        <x:v>0</x:v>
      </x:c>
      <x:c r="J28" s="51" t="n">
        <x:f>IF(AND(ISNUMBER(J18),ISNUMBER('Assumptions'!$D$58)),MAX(0,J18)*'Assumptions'!$D$58,"n.a.")</x:f>
        <x:v>0</x:v>
      </x:c>
      <x:c r="K28" s="51" t="n">
        <x:f>IF(AND(ISNUMBER(K18),ISNUMBER('Assumptions'!$D$58)),MAX(0,K18)*'Assumptions'!$D$58,"n.a.")</x:f>
        <x:v>0</x:v>
      </x:c>
      <x:c r="L28" s="51" t="n">
        <x:f>IF(AND(ISNUMBER(L18),ISNUMBER('Assumptions'!$D$58)),MAX(0,L18)*'Assumptions'!$D$58,"n.a.")</x:f>
        <x:v>0</x:v>
      </x:c>
      <x:c r="M28" s="51" t="n">
        <x:f>IF(AND(ISNUMBER(M18),ISNUMBER('Assumptions'!$D$58)),MAX(0,M18)*'Assumptions'!$D$58,"n.a.")</x:f>
        <x:v>0</x:v>
      </x:c>
      <x:c r="N28" s="51" t="n">
        <x:f>IF(AND(ISNUMBER(N18),ISNUMBER('Assumptions'!$D$58)),MAX(0,N18)*'Assumptions'!$D$58,"n.a.")</x:f>
        <x:v>0</x:v>
      </x:c>
      <x:c r="O28" s="51" t="n">
        <x:f>IF(AND(ISNUMBER(O18),ISNUMBER('Assumptions'!$D$58)),MAX(0,O18)*'Assumptions'!$D$58,"n.a.")</x:f>
        <x:v>0</x:v>
      </x:c>
      <x:c r="P28" s="51" t="n">
        <x:f>IF(AND(ISNUMBER(P18),ISNUMBER('Assumptions'!$D$58)),MAX(0,P18)*'Assumptions'!$D$58,"n.a.")</x:f>
        <x:v>0</x:v>
      </x:c>
      <x:c r="Q28" s="51" t="n">
        <x:f>IF(AND(ISNUMBER(Q18),ISNUMBER('Assumptions'!$D$58)),MAX(0,Q18)*'Assumptions'!$D$58,"n.a.")</x:f>
        <x:v>0</x:v>
      </x:c>
      <x:c r="R28" s="51" t="n">
        <x:f>IF(AND(ISNUMBER(R18),ISNUMBER('Assumptions'!$D$58)),MAX(0,R18)*'Assumptions'!$D$58,"n.a.")</x:f>
        <x:v>0</x:v>
      </x:c>
    </x:row>
    <x:row r="29" ht="21" customHeight="1">
      <x:c r="A29" s="2"/>
      <x:c r="B29" s="2"/>
      <x:c r="C29" s="56" t="str">
        <x:v>Cash NCF before property debt / capital</x:v>
      </x:c>
      <x:c r="D29" s="56" t="str">
        <x:v>USD</x:v>
      </x:c>
      <x:c r="E29" s="57" t="n">
        <x:f>IF(COUNT(G29:R29)=12,SUM(G29:R29),"n.a.")</x:f>
        <x:v>477204</x:v>
      </x:c>
      <x:c r="F29" s="56"/>
      <x:c r="G29" s="57" t="n">
        <x:f>IF(AND(ISNUMBER(G27),ISNUMBER(G28)),G27-G28,"n.a.")</x:f>
        <x:v>39767</x:v>
      </x:c>
      <x:c r="H29" s="57" t="n">
        <x:f>IF(AND(ISNUMBER(H27),ISNUMBER(H28)),H27-H28,"n.a.")</x:f>
        <x:v>39767</x:v>
      </x:c>
      <x:c r="I29" s="57" t="n">
        <x:f>IF(AND(ISNUMBER(I27),ISNUMBER(I28)),I27-I28,"n.a.")</x:f>
        <x:v>39767</x:v>
      </x:c>
      <x:c r="J29" s="57" t="n">
        <x:f>IF(AND(ISNUMBER(J27),ISNUMBER(J28)),J27-J28,"n.a.")</x:f>
        <x:v>39767</x:v>
      </x:c>
      <x:c r="K29" s="57" t="n">
        <x:f>IF(AND(ISNUMBER(K27),ISNUMBER(K28)),K27-K28,"n.a.")</x:f>
        <x:v>39767</x:v>
      </x:c>
      <x:c r="L29" s="57" t="n">
        <x:f>IF(AND(ISNUMBER(L27),ISNUMBER(L28)),L27-L28,"n.a.")</x:f>
        <x:v>39767</x:v>
      </x:c>
      <x:c r="M29" s="57" t="n">
        <x:f>IF(AND(ISNUMBER(M27),ISNUMBER(M28)),M27-M28,"n.a.")</x:f>
        <x:v>39767</x:v>
      </x:c>
      <x:c r="N29" s="57" t="n">
        <x:f>IF(AND(ISNUMBER(N27),ISNUMBER(N28)),N27-N28,"n.a.")</x:f>
        <x:v>39767</x:v>
      </x:c>
      <x:c r="O29" s="57" t="n">
        <x:f>IF(AND(ISNUMBER(O27),ISNUMBER(O28)),O27-O28,"n.a.")</x:f>
        <x:v>39767</x:v>
      </x:c>
      <x:c r="P29" s="57" t="n">
        <x:f>IF(AND(ISNUMBER(P27),ISNUMBER(P28)),P27-P28,"n.a.")</x:f>
        <x:v>39767</x:v>
      </x:c>
      <x:c r="Q29" s="57" t="n">
        <x:f>IF(AND(ISNUMBER(Q27),ISNUMBER(Q28)),Q27-Q28,"n.a.")</x:f>
        <x:v>39767</x:v>
      </x:c>
      <x:c r="R29" s="57" t="n">
        <x:f>IF(AND(ISNUMBER(R27),ISNUMBER(R28)),R27-R28,"n.a.")</x:f>
        <x:v>39767</x:v>
      </x:c>
    </x:row>
    <x:row r="30" ht="21" customHeight="1">
      <x:c r="A30" s="2"/>
      <x:c r="B30" s="2"/>
      <x:c r="C30" s="2"/>
      <x:c r="D30" s="2"/>
      <x:c r="E30" s="2"/>
      <x:c r="F30" s="2"/>
      <x:c r="G30" s="2"/>
      <x:c r="H30" s="2"/>
      <x:c r="I30" s="2"/>
      <x:c r="J30" s="2"/>
      <x:c r="K30" s="2"/>
      <x:c r="L30" s="2"/>
      <x:c r="M30" s="2"/>
      <x:c r="N30" s="2"/>
      <x:c r="O30" s="2"/>
      <x:c r="P30" s="2"/>
      <x:c r="Q30" s="2"/>
      <x:c r="R30" s="2"/>
    </x:row>
    <x:row r="31" ht="21" customHeight="1">
      <x:c r="A31" s="2"/>
      <x:c r="B31" s="2"/>
      <x:c r="C31" s="2"/>
      <x:c r="D31" s="2"/>
      <x:c r="E31" s="2"/>
      <x:c r="F31" s="2"/>
      <x:c r="G31" s="2"/>
      <x:c r="H31" s="2"/>
      <x:c r="I31" s="2"/>
      <x:c r="J31" s="2"/>
      <x:c r="K31" s="2"/>
      <x:c r="L31" s="2"/>
      <x:c r="M31" s="2"/>
      <x:c r="N31" s="2"/>
      <x:c r="O31" s="2"/>
      <x:c r="P31" s="2"/>
      <x:c r="Q31" s="2"/>
      <x:c r="R31" s="2"/>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IF(AND(ISNUMBER('Operations'!E29),ISNUMBER('Assumptions'!$D$52)),'Operations'!E29+'Assumptions'!$D$52,"n.a.")</x:f>
        <x:v>477204</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4711679.884511805</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1690000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5302266.666666667</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1690000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LTV</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11411.001026775144</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2670000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980000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220000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1548875.3755689475</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1690000</x:v>
      </x:c>
      <x:c r="H29" s="60" t="n">
        <x:f>IF(AND(ISNUMBER(G33)),G33,"n.a.")</x:f>
        <x:v>1690000</x:v>
      </x:c>
      <x:c r="I29" s="60" t="n">
        <x:f>IF(AND(ISNUMBER(H33)),H33,"n.a.")</x:f>
        <x:v>1690000</x:v>
      </x:c>
      <x:c r="J29" s="60" t="n">
        <x:f>IF(AND(ISNUMBER(I33)),I33,"n.a.")</x:f>
        <x:v>1690000</x:v>
      </x:c>
      <x:c r="K29" s="60" t="n">
        <x:f>IF(AND(ISNUMBER(J33)),J33,"n.a.")</x:f>
        <x:v>1690000</x:v>
      </x:c>
      <x:c r="L29" s="60" t="n">
        <x:f>IF(AND(ISNUMBER(K33)),K33,"n.a.")</x:f>
        <x:v>1690000</x:v>
      </x:c>
      <x:c r="M29" s="60" t="n">
        <x:f>IF(AND(ISNUMBER(L33)),L33,"n.a.")</x:f>
        <x:v>1690000</x:v>
      </x:c>
      <x:c r="N29" s="60" t="n">
        <x:f>IF(AND(ISNUMBER(M33)),M33,"n.a.")</x:f>
        <x:v>1687743.1656398915</x:v>
      </x:c>
      <x:c r="O29" s="60" t="n">
        <x:f>IF(AND(ISNUMBER(N33)),N33,"n.a.")</x:f>
        <x:v>1685474.1067603324</x:v>
      </x:c>
      <x:c r="P29" s="60" t="n">
        <x:f>IF(AND(ISNUMBER(O33)),O33,"n.a.")</x:f>
        <x:v>1683192.7571451757</x:v>
      </x:c>
      <x:c r="Q29" s="60" t="n">
        <x:f>IF(AND(ISNUMBER(P33)),P33,"n.a.")</x:f>
        <x:v>1680899.0502196036</x:v>
      </x:c>
      <x:c r="R29" s="60" t="n">
        <x:f>IF(AND(ISNUMBER(Q33)),Q33,"n.a.")</x:f>
        <x:v>1678592.9190481845</x:v>
      </x:c>
    </x:row>
    <x:row r="30" ht="21" customHeight="1">
      <x:c r="A30" s="2"/>
      <x:c r="B30" s="2"/>
      <x:c r="C30" s="2" t="str">
        <x:v>Monthly interest</x:v>
      </x:c>
      <x:c r="D30" s="2"/>
      <x:c r="E30" s="2"/>
      <x:c r="F30" s="2"/>
      <x:c r="G30" s="61" t="n">
        <x:f>IF(AND(ISNUMBER(G29),ISNUMBER('Assumptions'!$D$31)),G29*'Assumptions'!$D$31/12,"n.a.")</x:f>
        <x:v>9154.166666666666</x:v>
      </x:c>
      <x:c r="H30" s="61" t="n">
        <x:f>IF(AND(ISNUMBER(H29),ISNUMBER('Assumptions'!$D$31)),H29*'Assumptions'!$D$31/12,"n.a.")</x:f>
        <x:v>9154.166666666666</x:v>
      </x:c>
      <x:c r="I30" s="61" t="n">
        <x:f>IF(AND(ISNUMBER(I29),ISNUMBER('Assumptions'!$D$31)),I29*'Assumptions'!$D$31/12,"n.a.")</x:f>
        <x:v>9154.166666666666</x:v>
      </x:c>
      <x:c r="J30" s="61" t="n">
        <x:f>IF(AND(ISNUMBER(J29),ISNUMBER('Assumptions'!$D$31)),J29*'Assumptions'!$D$31/12,"n.a.")</x:f>
        <x:v>9154.166666666666</x:v>
      </x:c>
      <x:c r="K30" s="61" t="n">
        <x:f>IF(AND(ISNUMBER(K29),ISNUMBER('Assumptions'!$D$31)),K29*'Assumptions'!$D$31/12,"n.a.")</x:f>
        <x:v>9154.166666666666</x:v>
      </x:c>
      <x:c r="L30" s="61" t="n">
        <x:f>IF(AND(ISNUMBER(L29),ISNUMBER('Assumptions'!$D$31)),L29*'Assumptions'!$D$31/12,"n.a.")</x:f>
        <x:v>9154.166666666666</x:v>
      </x:c>
      <x:c r="M30" s="61" t="n">
        <x:f>IF(AND(ISNUMBER(M29),ISNUMBER('Assumptions'!$D$31)),M29*'Assumptions'!$D$31/12,"n.a.")</x:f>
        <x:v>9154.166666666666</x:v>
      </x:c>
      <x:c r="N30" s="61" t="n">
        <x:f>IF(AND(ISNUMBER(N29),ISNUMBER('Assumptions'!$D$31)),N29*'Assumptions'!$D$31/12,"n.a.")</x:f>
        <x:v>9141.94214721608</x:v>
      </x:c>
      <x:c r="O30" s="61" t="n">
        <x:f>IF(AND(ISNUMBER(O29),ISNUMBER('Assumptions'!$D$31)),O29*'Assumptions'!$D$31/12,"n.a.")</x:f>
        <x:v>9129.651411618468</x:v>
      </x:c>
      <x:c r="P30" s="61" t="n">
        <x:f>IF(AND(ISNUMBER(P29),ISNUMBER('Assumptions'!$D$31)),P29*'Assumptions'!$D$31/12,"n.a.")</x:f>
        <x:v>9117.294101203035</x:v>
      </x:c>
      <x:c r="Q30" s="61" t="n">
        <x:f>IF(AND(ISNUMBER(Q29),ISNUMBER('Assumptions'!$D$31)),Q29*'Assumptions'!$D$31/12,"n.a.")</x:f>
        <x:v>9104.869855356186</x:v>
      </x:c>
      <x:c r="R30" s="61" t="n">
        <x:f>IF(AND(ISNUMBER(R29),ISNUMBER('Assumptions'!$D$31)),R29*'Assumptions'!$D$31/12,"n.a.")</x:f>
        <x:v>9092.378311511</x:v>
      </x:c>
    </x:row>
    <x:row r="31" ht="21" customHeight="1">
      <x:c r="A31" s="2"/>
      <x:c r="B31" s="2"/>
      <x:c r="C31" s="2" t="str">
        <x:v>Scheduled payment</x:v>
      </x:c>
      <x:c r="D31" s="2"/>
      <x:c r="E31" s="2"/>
      <x:c r="F31" s="2"/>
      <x:c r="G31" s="61" t="n">
        <x:f>IF(AND(ISNUMBER('Assumptions'!$D$37),ISNUMBER(G30),ISNUMBER(G29),ISNUMBER(D16)),IF(1&lt;='Assumptions'!$D$37,G30,MIN(G29+G30,D16)),"n.a.")</x:f>
        <x:v>9154.166666666666</x:v>
      </x:c>
      <x:c r="H31" s="61" t="n">
        <x:f>IF(AND(ISNUMBER('Assumptions'!$D$37),ISNUMBER(H30),ISNUMBER(H29),ISNUMBER(D16)),IF(2&lt;='Assumptions'!$D$37,H30,MIN(H29+H30,D16)),"n.a.")</x:f>
        <x:v>9154.166666666666</x:v>
      </x:c>
      <x:c r="I31" s="61" t="n">
        <x:f>IF(AND(ISNUMBER('Assumptions'!$D$37),ISNUMBER(I30),ISNUMBER(I29),ISNUMBER(D16)),IF(3&lt;='Assumptions'!$D$37,I30,MIN(I29+I30,D16)),"n.a.")</x:f>
        <x:v>9154.166666666666</x:v>
      </x:c>
      <x:c r="J31" s="61" t="n">
        <x:f>IF(AND(ISNUMBER('Assumptions'!$D$37),ISNUMBER(J30),ISNUMBER(J29),ISNUMBER(D16)),IF(4&lt;='Assumptions'!$D$37,J30,MIN(J29+J30,D16)),"n.a.")</x:f>
        <x:v>9154.166666666666</x:v>
      </x:c>
      <x:c r="K31" s="61" t="n">
        <x:f>IF(AND(ISNUMBER('Assumptions'!$D$37),ISNUMBER(K30),ISNUMBER(K29),ISNUMBER(D16)),IF(5&lt;='Assumptions'!$D$37,K30,MIN(K29+K30,D16)),"n.a.")</x:f>
        <x:v>9154.166666666666</x:v>
      </x:c>
      <x:c r="L31" s="61" t="n">
        <x:f>IF(AND(ISNUMBER('Assumptions'!$D$37),ISNUMBER(L30),ISNUMBER(L29),ISNUMBER(D16)),IF(6&lt;='Assumptions'!$D$37,L30,MIN(L29+L30,D16)),"n.a.")</x:f>
        <x:v>9154.166666666666</x:v>
      </x:c>
      <x:c r="M31" s="61" t="n">
        <x:f>IF(AND(ISNUMBER('Assumptions'!$D$37),ISNUMBER(M30),ISNUMBER(M29),ISNUMBER(D16)),IF(7&lt;='Assumptions'!$D$37,M30,MIN(M29+M30,D16)),"n.a.")</x:f>
        <x:v>11411.001026775144</x:v>
      </x:c>
      <x:c r="N31" s="61" t="n">
        <x:f>IF(AND(ISNUMBER('Assumptions'!$D$37),ISNUMBER(N30),ISNUMBER(N29),ISNUMBER(D16)),IF(8&lt;='Assumptions'!$D$37,N30,MIN(N29+N30,D16)),"n.a.")</x:f>
        <x:v>11411.001026775144</x:v>
      </x:c>
      <x:c r="O31" s="61" t="n">
        <x:f>IF(AND(ISNUMBER('Assumptions'!$D$37),ISNUMBER(O30),ISNUMBER(O29),ISNUMBER(D16)),IF(9&lt;='Assumptions'!$D$37,O30,MIN(O29+O30,D16)),"n.a.")</x:f>
        <x:v>11411.001026775144</x:v>
      </x:c>
      <x:c r="P31" s="61" t="n">
        <x:f>IF(AND(ISNUMBER('Assumptions'!$D$37),ISNUMBER(P30),ISNUMBER(P29),ISNUMBER(D16)),IF(10&lt;='Assumptions'!$D$37,P30,MIN(P29+P30,D16)),"n.a.")</x:f>
        <x:v>11411.001026775144</x:v>
      </x:c>
      <x:c r="Q31" s="61" t="n">
        <x:f>IF(AND(ISNUMBER('Assumptions'!$D$37),ISNUMBER(Q30),ISNUMBER(Q29),ISNUMBER(D16)),IF(11&lt;='Assumptions'!$D$37,Q30,MIN(Q29+Q30,D16)),"n.a.")</x:f>
        <x:v>11411.001026775144</x:v>
      </x:c>
      <x:c r="R31" s="61" t="n">
        <x:f>IF(AND(ISNUMBER('Assumptions'!$D$37),ISNUMBER(R30),ISNUMBER(R29),ISNUMBER(D16)),IF(12&lt;='Assumptions'!$D$37,R30,MIN(R29+R30,D16)),"n.a.")</x:f>
        <x:v>11411.001026775144</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2256.834360108478</x:v>
      </x:c>
      <x:c r="N32" s="60" t="n">
        <x:f>IF(AND(ISNUMBER(N31),ISNUMBER(N30)),N31-N30,"n.a.")</x:f>
        <x:v>2269.0588795590647</x:v>
      </x:c>
      <x:c r="O32" s="60" t="n">
        <x:f>IF(AND(ISNUMBER(O31),ISNUMBER(O30)),O31-O30,"n.a.")</x:f>
        <x:v>2281.349615156676</x:v>
      </x:c>
      <x:c r="P32" s="60" t="n">
        <x:f>IF(AND(ISNUMBER(P31),ISNUMBER(P30)),P31-P30,"n.a.")</x:f>
        <x:v>2293.706925572109</x:v>
      </x:c>
      <x:c r="Q32" s="60" t="n">
        <x:f>IF(AND(ISNUMBER(Q31),ISNUMBER(Q30)),Q31-Q30,"n.a.")</x:f>
        <x:v>2306.131171418958</x:v>
      </x:c>
      <x:c r="R32" s="60" t="n">
        <x:f>IF(AND(ISNUMBER(R31),ISNUMBER(R30)),R31-R30,"n.a.")</x:f>
        <x:v>2318.622715264144</x:v>
      </x:c>
    </x:row>
    <x:row r="33" ht="21" customHeight="1">
      <x:c r="A33" s="2"/>
      <x:c r="B33" s="2"/>
      <x:c r="C33" s="2" t="str">
        <x:v>Ending loan balance</x:v>
      </x:c>
      <x:c r="D33" s="2"/>
      <x:c r="E33" s="2"/>
      <x:c r="F33" s="2"/>
      <x:c r="G33" s="60" t="n">
        <x:f>IF(AND(ISNUMBER(G29),ISNUMBER(G32),ISNUMBER(G38)),G29-G32-G38,"n.a.")</x:f>
        <x:v>1690000</x:v>
      </x:c>
      <x:c r="H33" s="60" t="n">
        <x:f>IF(AND(ISNUMBER(H29),ISNUMBER(H32),ISNUMBER(H38)),H29-H32-H38,"n.a.")</x:f>
        <x:v>1690000</x:v>
      </x:c>
      <x:c r="I33" s="60" t="n">
        <x:f>IF(AND(ISNUMBER(I29),ISNUMBER(I32),ISNUMBER(I38)),I29-I32-I38,"n.a.")</x:f>
        <x:v>1690000</x:v>
      </x:c>
      <x:c r="J33" s="60" t="n">
        <x:f>IF(AND(ISNUMBER(J29),ISNUMBER(J32),ISNUMBER(J38)),J29-J32-J38,"n.a.")</x:f>
        <x:v>1690000</x:v>
      </x:c>
      <x:c r="K33" s="60" t="n">
        <x:f>IF(AND(ISNUMBER(K29),ISNUMBER(K32),ISNUMBER(K38)),K29-K32-K38,"n.a.")</x:f>
        <x:v>1690000</x:v>
      </x:c>
      <x:c r="L33" s="60" t="n">
        <x:f>IF(AND(ISNUMBER(L29),ISNUMBER(L32),ISNUMBER(L38)),L29-L32-L38,"n.a.")</x:f>
        <x:v>1690000</x:v>
      </x:c>
      <x:c r="M33" s="60" t="n">
        <x:f>IF(AND(ISNUMBER(M29),ISNUMBER(M32),ISNUMBER(M38)),M29-M32-M38,"n.a.")</x:f>
        <x:v>1687743.1656398915</x:v>
      </x:c>
      <x:c r="N33" s="60" t="n">
        <x:f>IF(AND(ISNUMBER(N29),ISNUMBER(N32),ISNUMBER(N38)),N29-N32-N38,"n.a.")</x:f>
        <x:v>1685474.1067603324</x:v>
      </x:c>
      <x:c r="O33" s="60" t="n">
        <x:f>IF(AND(ISNUMBER(O29),ISNUMBER(O32),ISNUMBER(O38)),O29-O32-O38,"n.a.")</x:f>
        <x:v>1683192.7571451757</x:v>
      </x:c>
      <x:c r="P33" s="60" t="n">
        <x:f>IF(AND(ISNUMBER(P29),ISNUMBER(P32),ISNUMBER(P38)),P29-P32-P38,"n.a.")</x:f>
        <x:v>1680899.0502196036</x:v>
      </x:c>
      <x:c r="Q33" s="60" t="n">
        <x:f>IF(AND(ISNUMBER(Q29),ISNUMBER(Q32),ISNUMBER(Q38)),Q29-Q32-Q38,"n.a.")</x:f>
        <x:v>1678592.9190481845</x:v>
      </x:c>
      <x:c r="R33" s="60" t="n">
        <x:f>IF(AND(ISNUMBER(R29),ISNUMBER(R32),ISNUMBER(R38)),R29-R32-R38,"n.a.")</x:f>
        <x:v>1676274.2963329204</x:v>
      </x:c>
    </x:row>
    <x:row r="34" ht="21" customHeight="1">
      <x:c r="A34" s="2"/>
      <x:c r="B34" s="2"/>
      <x:c r="C34" s="2" t="str">
        <x:v>Operating cash NCF</x:v>
      </x:c>
      <x:c r="D34" s="2"/>
      <x:c r="E34" s="2"/>
      <x:c r="F34" s="2"/>
      <x:c r="G34" s="61" t="n">
        <x:f>IF(AND(ISNUMBER('Operations'!G29)),'Operations'!G29,"n.a.")</x:f>
        <x:v>39767</x:v>
      </x:c>
      <x:c r="H34" s="61" t="n">
        <x:f>IF(AND(ISNUMBER('Operations'!H29)),'Operations'!H29,"n.a.")</x:f>
        <x:v>39767</x:v>
      </x:c>
      <x:c r="I34" s="61" t="n">
        <x:f>IF(AND(ISNUMBER('Operations'!I29)),'Operations'!I29,"n.a.")</x:f>
        <x:v>39767</x:v>
      </x:c>
      <x:c r="J34" s="61" t="n">
        <x:f>IF(AND(ISNUMBER('Operations'!J29)),'Operations'!J29,"n.a.")</x:f>
        <x:v>39767</x:v>
      </x:c>
      <x:c r="K34" s="61" t="n">
        <x:f>IF(AND(ISNUMBER('Operations'!K29)),'Operations'!K29,"n.a.")</x:f>
        <x:v>39767</x:v>
      </x:c>
      <x:c r="L34" s="61" t="n">
        <x:f>IF(AND(ISNUMBER('Operations'!L29)),'Operations'!L29,"n.a.")</x:f>
        <x:v>39767</x:v>
      </x:c>
      <x:c r="M34" s="61" t="n">
        <x:f>IF(AND(ISNUMBER('Operations'!M29)),'Operations'!M29,"n.a.")</x:f>
        <x:v>39767</x:v>
      </x:c>
      <x:c r="N34" s="61" t="n">
        <x:f>IF(AND(ISNUMBER('Operations'!N29)),'Operations'!N29,"n.a.")</x:f>
        <x:v>39767</x:v>
      </x:c>
      <x:c r="O34" s="61" t="n">
        <x:f>IF(AND(ISNUMBER('Operations'!O29)),'Operations'!O29,"n.a.")</x:f>
        <x:v>39767</x:v>
      </x:c>
      <x:c r="P34" s="61" t="n">
        <x:f>IF(AND(ISNUMBER('Operations'!P29)),'Operations'!P29,"n.a.")</x:f>
        <x:v>39767</x:v>
      </x:c>
      <x:c r="Q34" s="61" t="n">
        <x:f>IF(AND(ISNUMBER('Operations'!Q29)),'Operations'!Q29,"n.a.")</x:f>
        <x:v>39767</x:v>
      </x:c>
      <x:c r="R34" s="61" t="n">
        <x:f>IF(AND(ISNUMBER('Operations'!R29)),'Operations'!R29,"n.a.")</x:f>
        <x:v>39767</x:v>
      </x:c>
    </x:row>
    <x:row r="35" ht="21" customHeight="1">
      <x:c r="A35" s="2"/>
      <x:c r="B35" s="2"/>
      <x:c r="C35" s="2" t="str">
        <x:v>Capital-work cash</x:v>
      </x:c>
      <x:c r="D35" s="2"/>
      <x:c r="E35" s="2"/>
      <x:c r="F35" s="2"/>
      <x:c r="G35" s="61" t="n">
        <x:f>IF(AND(ISNUMBER('Operations'!G24)),'Operations'!G24,"n.a.")</x:f>
        <x:v>0</x:v>
      </x:c>
      <x:c r="H35" s="61" t="n">
        <x:f>IF(AND(ISNUMBER('Operations'!H24)),'Operations'!H24,"n.a.")</x:f>
        <x:v>0</x:v>
      </x:c>
      <x:c r="I35" s="61" t="n">
        <x:f>IF(AND(ISNUMBER('Operations'!I24)),'Operations'!I24,"n.a.")</x:f>
        <x:v>0</x:v>
      </x:c>
      <x:c r="J35" s="61" t="n">
        <x:f>IF(AND(ISNUMBER('Operations'!J24)),'Operations'!J24,"n.a.")</x:f>
        <x:v>0</x:v>
      </x:c>
      <x:c r="K35" s="61" t="n">
        <x:f>IF(AND(ISNUMBER('Operations'!K24)),'Operations'!K24,"n.a.")</x:f>
        <x:v>0</x:v>
      </x:c>
      <x:c r="L35" s="61" t="n">
        <x:f>IF(AND(ISNUMBER('Operations'!L24)),'Operations'!L24,"n.a.")</x:f>
        <x:v>0</x:v>
      </x:c>
      <x:c r="M35" s="61" t="n">
        <x:f>IF(AND(ISNUMBER('Operations'!M24)),'Operations'!M24,"n.a.")</x:f>
        <x:v>70000</x:v>
      </x:c>
      <x:c r="N35" s="61" t="n">
        <x:f>IF(AND(ISNUMBER('Operations'!N24)),'Operations'!N24,"n.a.")</x:f>
        <x:v>0</x:v>
      </x:c>
      <x:c r="O35" s="61" t="n">
        <x:f>IF(AND(ISNUMBER('Operations'!O24)),'Operations'!O24,"n.a.")</x:f>
        <x:v>0</x:v>
      </x:c>
      <x:c r="P35" s="61" t="n">
        <x:f>IF(AND(ISNUMBER('Operations'!P24)),'Operations'!P24,"n.a.")</x:f>
        <x:v>0</x:v>
      </x:c>
      <x:c r="Q35" s="61" t="n">
        <x:f>IF(AND(ISNUMBER('Operations'!Q24)),'Operations'!Q24,"n.a.")</x:f>
        <x:v>0</x:v>
      </x:c>
      <x:c r="R35" s="61" t="n">
        <x:f>IF(AND(ISNUMBER('Operations'!R24)),'Operations'!R24,"n.a.")</x:f>
        <x:v>0</x:v>
      </x:c>
    </x:row>
    <x:row r="36" ht="21" customHeight="1">
      <x:c r="A36" s="2"/>
      <x:c r="B36" s="2"/>
      <x:c r="C36" s="2" t="str">
        <x:v>Cash after debt and capital</x:v>
      </x:c>
      <x:c r="D36" s="2"/>
      <x:c r="E36" s="2"/>
      <x:c r="F36" s="2"/>
      <x:c r="G36" s="60" t="n">
        <x:f>IF(AND(ISNUMBER(G34),ISNUMBER(G31),ISNUMBER(G35),ISNUMBER(G38)),G34-G31-G35-G38,"n.a.")</x:f>
        <x:v>30612.833333333336</x:v>
      </x:c>
      <x:c r="H36" s="60" t="n">
        <x:f>IF(AND(ISNUMBER(H34),ISNUMBER(H31),ISNUMBER(H35),ISNUMBER(H38)),H34-H31-H35-H38,"n.a.")</x:f>
        <x:v>30612.833333333336</x:v>
      </x:c>
      <x:c r="I36" s="60" t="n">
        <x:f>IF(AND(ISNUMBER(I34),ISNUMBER(I31),ISNUMBER(I35),ISNUMBER(I38)),I34-I31-I35-I38,"n.a.")</x:f>
        <x:v>30612.833333333336</x:v>
      </x:c>
      <x:c r="J36" s="60" t="n">
        <x:f>IF(AND(ISNUMBER(J34),ISNUMBER(J31),ISNUMBER(J35),ISNUMBER(J38)),J34-J31-J35-J38,"n.a.")</x:f>
        <x:v>30612.833333333336</x:v>
      </x:c>
      <x:c r="K36" s="60" t="n">
        <x:f>IF(AND(ISNUMBER(K34),ISNUMBER(K31),ISNUMBER(K35),ISNUMBER(K38)),K34-K31-K35-K38,"n.a.")</x:f>
        <x:v>30612.833333333336</x:v>
      </x:c>
      <x:c r="L36" s="60" t="n">
        <x:f>IF(AND(ISNUMBER(L34),ISNUMBER(L31),ISNUMBER(L35),ISNUMBER(L38)),L34-L31-L35-L38,"n.a.")</x:f>
        <x:v>30612.833333333336</x:v>
      </x:c>
      <x:c r="M36" s="60" t="n">
        <x:f>IF(AND(ISNUMBER(M34),ISNUMBER(M31),ISNUMBER(M35),ISNUMBER(M38)),M34-M31-M35-M38,"n.a.")</x:f>
        <x:v>-41644.00102677514</x:v>
      </x:c>
      <x:c r="N36" s="60" t="n">
        <x:f>IF(AND(ISNUMBER(N34),ISNUMBER(N31),ISNUMBER(N35),ISNUMBER(N38)),N34-N31-N35-N38,"n.a.")</x:f>
        <x:v>28355.998973224858</x:v>
      </x:c>
      <x:c r="O36" s="60" t="n">
        <x:f>IF(AND(ISNUMBER(O34),ISNUMBER(O31),ISNUMBER(O35),ISNUMBER(O38)),O34-O31-O35-O38,"n.a.")</x:f>
        <x:v>28355.998973224858</x:v>
      </x:c>
      <x:c r="P36" s="60" t="n">
        <x:f>IF(AND(ISNUMBER(P34),ISNUMBER(P31),ISNUMBER(P35),ISNUMBER(P38)),P34-P31-P35-P38,"n.a.")</x:f>
        <x:v>28355.998973224858</x:v>
      </x:c>
      <x:c r="Q36" s="60" t="n">
        <x:f>IF(AND(ISNUMBER(Q34),ISNUMBER(Q31),ISNUMBER(Q35),ISNUMBER(Q38)),Q34-Q31-Q35-Q38,"n.a.")</x:f>
        <x:v>28355.998973224858</x:v>
      </x:c>
      <x:c r="R36" s="60" t="n">
        <x:f>IF(AND(ISNUMBER(R34),ISNUMBER(R31),ISNUMBER(R35),ISNUMBER(R38)),R34-R31-R35-R38,"n.a.")</x:f>
        <x:v>28355.998973224858</x:v>
      </x:c>
    </x:row>
    <x:row r="37" ht="21" customHeight="1">
      <x:c r="A37" s="2"/>
      <x:c r="B37" s="2"/>
      <x:c r="C37" s="2" t="str">
        <x:v>Ending operating cash</x:v>
      </x:c>
      <x:c r="D37" s="2"/>
      <x:c r="E37" s="2"/>
      <x:c r="F37" s="2"/>
      <x:c r="G37" s="61" t="n">
        <x:f>IF(AND(ISNUMBER('Assumptions'!$D$22),ISNUMBER(G36)),'Assumptions'!$D$22+G36,"n.a.")</x:f>
        <x:v>180612.83333333334</x:v>
      </x:c>
      <x:c r="H37" s="60" t="n">
        <x:f>IF(AND(ISNUMBER(G37),ISNUMBER(H36)),G37+H36,"n.a.")</x:f>
        <x:v>211225.6666666667</x:v>
      </x:c>
      <x:c r="I37" s="60" t="n">
        <x:f>IF(AND(ISNUMBER(H37),ISNUMBER(I36)),H37+I36,"n.a.")</x:f>
        <x:v>241838.50000000003</x:v>
      </x:c>
      <x:c r="J37" s="60" t="n">
        <x:f>IF(AND(ISNUMBER(I37),ISNUMBER(J36)),I37+J36,"n.a.")</x:f>
        <x:v>272451.3333333334</x:v>
      </x:c>
      <x:c r="K37" s="60" t="n">
        <x:f>IF(AND(ISNUMBER(J37),ISNUMBER(K36)),J37+K36,"n.a.")</x:f>
        <x:v>303064.1666666667</x:v>
      </x:c>
      <x:c r="L37" s="60" t="n">
        <x:f>IF(AND(ISNUMBER(K37),ISNUMBER(L36)),K37+L36,"n.a.")</x:f>
        <x:v>333677</x:v>
      </x:c>
      <x:c r="M37" s="60" t="n">
        <x:f>IF(AND(ISNUMBER(L37),ISNUMBER(M36)),L37+M36,"n.a.")</x:f>
        <x:v>292032.99897322484</x:v>
      </x:c>
      <x:c r="N37" s="60" t="n">
        <x:f>IF(AND(ISNUMBER(M37),ISNUMBER(N36)),M37+N36,"n.a.")</x:f>
        <x:v>320388.9979464497</x:v>
      </x:c>
      <x:c r="O37" s="60" t="n">
        <x:f>IF(AND(ISNUMBER(N37),ISNUMBER(O36)),N37+O36,"n.a.")</x:f>
        <x:v>348744.9969196745</x:v>
      </x:c>
      <x:c r="P37" s="60" t="n">
        <x:f>IF(AND(ISNUMBER(O37),ISNUMBER(P36)),O37+P36,"n.a.")</x:f>
        <x:v>377100.99589289934</x:v>
      </x:c>
      <x:c r="Q37" s="60" t="n">
        <x:f>IF(AND(ISNUMBER(P37),ISNUMBER(Q36)),P37+Q36,"n.a.")</x:f>
        <x:v>405456.9948661242</x:v>
      </x:c>
      <x:c r="R37" s="60" t="n">
        <x:f>IF(AND(ISNUMBER(Q37),ISNUMBER(R36)),Q37+R36,"n.a.")</x:f>
        <x:v>433812.993839349</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123391.00616065088</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3.867413151479587</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1676274.2963329204</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220000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433812.993839349</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29-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Assumptions'!$D$94)</x:f>
        <x:v>0</x:v>
      </x:c>
      <x:c r="E10" s="2"/>
      <x:c r="F10" s="2"/>
      <x:c r="G10" s="2"/>
      <x:c r="H10" s="2"/>
      <x:c r="I10" s="2"/>
      <x:c r="J10" s="2"/>
    </x:row>
    <x:row r="11" ht="21" customHeight="1">
      <x:c r="A11" s="2"/>
      <x:c r="B11" s="2"/>
      <x:c r="C11" s="2" t="str">
        <x:v>Source rows needing correction</x:v>
      </x:c>
      <x:c r="D11" s="71" t="n">
        <x:f>COUNTIFS('Veterinary Services'!N10:N21,"Missing / invalid input")</x:f>
        <x:v>0</x:v>
      </x:c>
      <x:c r="E11" s="2"/>
      <x:c r="F11" s="2"/>
      <x:c r="G11" s="2"/>
      <x:c r="H11" s="2"/>
      <x:c r="I11" s="2"/>
      <x:c r="J11" s="2"/>
    </x:row>
    <x:row r="12" ht="21" customHeight="1">
      <x:c r="A12" s="2"/>
      <x:c r="B12" s="2"/>
      <x:c r="C12" s="2" t="str">
        <x:v>Residual cash-cost reconciliation</x:v>
      </x:c>
      <x:c r="D12" s="71" t="n">
        <x:f>IF(AND(ISNUMBER('Operations'!E27),ISNUMBER('Operations'!E18),ISNUMBER('Operations'!E26)),'Operations'!E27-'Operations'!E18+'Operations'!E26,"n.a.")</x:f>
        <x:v>0</x:v>
      </x:c>
      <x:c r="E12" s="2"/>
      <x:c r="F12" s="2"/>
      <x:c r="G12" s="2"/>
      <x:c r="H12" s="2"/>
      <x:c r="I12" s="2"/>
      <x:c r="J12" s="2"/>
    </x:row>
    <x:row r="13" ht="21" customHeight="1">
      <x:c r="A13" s="2"/>
      <x:c r="B13" s="2"/>
      <x:c r="C13" s="2" t="str">
        <x:v>NCF reserve reconciliation</x:v>
      </x:c>
      <x:c r="D13" s="71" t="n">
        <x:f>IF(AND(ISNUMBER('Operations'!E29),ISNUMBER('Operations'!E27),ISNUMBER('Operations'!E28)),'Operations'!E29-'Operations'!E27+'Operations'!E28,"n.a.")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2.3283064365386963e-10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-1.0186340659856796e-10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Appointment, surgery and boarding revenue are mutually exclusive billings. Remove</x:v>
      </x:c>
      <x:c r="D23" s="2"/>
      <x:c r="E23" s="2"/>
      <x:c r="F23" s="2"/>
      <x:c r="G23" s="2"/>
      <x:c r="H23" s="2"/>
      <x:c r="I23" s="2"/>
      <x:c r="J23" s="2"/>
    </x:row>
    <x:row r="24" ht="21" customHeight="1">
      <x:c r="A24" s="2"/>
      <x:c r="B24" s="2"/>
      <x:c r="C24" s="2" t="str">
        <x:v>surgery fees from average appointment fees to avoid duplication. Surgery and boarding</x:v>
      </x:c>
      <x:c r="D24" s="2"/>
      <x:c r="E24" s="2"/>
      <x:c r="F24" s="2"/>
      <x:c r="G24" s="2"/>
      <x:c r="H24" s="2"/>
      <x:c r="I24" s="2"/>
      <x:c r="J24" s="2"/>
    </x:row>
    <x:row r="25" ht="21" customHeight="1">
      <x:c r="A25" s="2"/>
      <x:c r="B25" s="2"/>
      <x:c r="C25" s="2" t="str">
        <x:v>quantities require independently supported staffing/capacity.</x:v>
      </x:c>
      <x:c r="D25" s="2"/>
      <x:c r="E25" s="2"/>
      <x:c r="F25" s="2"/>
      <x:c r="G25" s="2"/>
      <x:c r="H25" s="2"/>
      <x:c r="I25" s="2"/>
      <x:c r="J25" s="2"/>
    </x:row>
    <x:row r="26" ht="21" customHeight="1">
      <x:c r="A26" s="2"/>
      <x:c r="B26" s="2"/>
      <x:c r="C26" s="2"/>
      <x:c r="D26" s="2"/>
      <x:c r="E26" s="2"/>
      <x:c r="F26" s="2"/>
      <x:c r="G26" s="2"/>
      <x:c r="H26" s="2"/>
      <x:c r="I26" s="2"/>
      <x:c r="J26" s="2"/>
    </x:row>
    <x:row r="27" ht="21" customHeight="1">
      <x:c r="A27" s="2"/>
      <x:c r="B27" s="2"/>
      <x:c r="C27" s="2" t="str">
        <x:v>Realization is a same-month cash proxy; there is no receivables rollforward. Enter</x:v>
      </x:c>
      <x:c r="D27" s="2"/>
      <x:c r="E27" s="2"/>
      <x:c r="F27" s="2"/>
      <x:c r="G27" s="2"/>
      <x:c r="H27" s="2"/>
      <x:c r="I27" s="2"/>
      <x:c r="J27" s="2"/>
    </x:row>
    <x:row r="28" ht="21" customHeight="1">
      <x:c r="A28" s="2"/>
      <x:c r="B28" s="2"/>
      <x:c r="C28" s="2" t="str">
        <x:v>additional collections timing in a separate cash schedule where material. Payroll</x:v>
      </x:c>
      <x:c r="D28" s="2"/>
      <x:c r="E28" s="2"/>
      <x:c r="F28" s="2"/>
      <x:c r="G28" s="2"/>
      <x:c r="H28" s="2"/>
      <x:c r="I28" s="2"/>
      <x:c r="J28" s="2"/>
    </x:row>
    <x:row r="29" ht="21" customHeight="1">
      <x:c r="A29" s="2"/>
      <x:c r="B29" s="2"/>
      <x:c r="C29" s="2" t="str">
        <x:v>includes clinical providers and support staff.</x:v>
      </x:c>
      <x:c r="D29" s="2"/>
      <x:c r="E29" s="2"/>
      <x:c r="F29" s="2"/>
      <x:c r="G29" s="2"/>
      <x:c r="H29" s="2"/>
      <x:c r="I29" s="2"/>
      <x:c r="J29" s="2"/>
    </x:row>
    <x:row r="30" ht="21" customHeight="1">
      <x:c r="A30" s="2"/>
      <x:c r="B30" s="2"/>
      <x:c r="C30" s="2"/>
      <x:c r="D30" s="2"/>
      <x:c r="E30" s="2"/>
      <x:c r="F30" s="2"/>
      <x:c r="G30" s="2"/>
      <x:c r="H30" s="2"/>
      <x:c r="I30" s="2"/>
      <x:c r="J30" s="2"/>
    </x:row>
    <x:row r="31" ht="21" customHeight="1">
      <x:c r="A31" s="2"/>
      <x:c r="B31" s="2"/>
      <x:c r="C31" s="2" t="str">
        <x:v>Combined cash is an operating-business and property measure, not property NOI. Other</x:v>
      </x:c>
      <x:c r="D31" s="2"/>
      <x:c r="E31" s="2"/>
      <x:c r="F31" s="2"/>
      <x:c r="G31" s="2"/>
      <x:c r="H31" s="2"/>
      <x:c r="I31" s="2"/>
      <x:c r="J31" s="2"/>
    </x:row>
    <x:row r="32" ht="21" customHeight="1">
      <x:c r="A32" s="2"/>
      <x:c r="B32" s="2"/>
      <x:c r="C32" s="2" t="str">
        <x:v>business debt, taxes/distributions and maintenance capital are deducted once before the</x:v>
      </x:c>
      <x:c r="D32" s="2"/>
      <x:c r="E32" s="2"/>
      <x:c r="F32" s="2"/>
      <x:c r="G32" s="2"/>
      <x:c r="H32" s="2"/>
      <x:c r="I32" s="2"/>
      <x:c r="J32" s="2"/>
    </x:row>
    <x:row r="33" ht="21" customHeight="1">
      <x:c r="A33" s="2"/>
      <x:c r="B33" s="2"/>
      <x:c r="C33" s="2" t="str">
        <x:v>residual property-debt proxy.</x:v>
      </x:c>
      <x:c r="D33" s="2"/>
      <x:c r="E33" s="2"/>
      <x:c r="F33" s="2"/>
      <x:c r="G33" s="2"/>
      <x:c r="H33" s="2"/>
      <x:c r="I33" s="2"/>
      <x:c r="J33" s="2"/>
    </x:row>
    <x:row r="34" ht="21" customHeight="1">
      <x:c r="A34" s="2"/>
      <x:c r="B34" s="2"/>
      <x:c r="C34" s="2"/>
      <x:c r="D34" s="2"/>
      <x:c r="E34" s="2"/>
      <x:c r="F34" s="2"/>
      <x:c r="G34" s="2"/>
      <x:c r="H34" s="2"/>
      <x:c r="I34" s="2"/>
      <x:c r="J34" s="2"/>
    </x:row>
    <x:row r="35" ht="21" customHeight="1">
      <x:c r="A35" s="2"/>
      <x:c r="B35" s="2"/>
      <x:c r="C35" s="2" t="str">
        <x:v>Value and acquisition price refer only to the real estate. LTV never applies to</x:v>
      </x:c>
      <x:c r="D35" s="2"/>
      <x:c r="E35" s="2"/>
      <x:c r="F35" s="2"/>
      <x:c r="G35" s="2"/>
      <x:c r="H35" s="2"/>
      <x:c r="I35" s="2"/>
      <x:c r="J35" s="2"/>
    </x:row>
    <x:row r="36" ht="21" customHeight="1">
      <x:c r="A36" s="2"/>
      <x:c r="B36" s="2"/>
      <x:c r="C36" s="2" t="str">
        <x:v>enterprise value, goodwill, inventory or equipment. The modeled loan is property debt</x:v>
      </x:c>
      <x:c r="D36" s="2"/>
      <x:c r="E36" s="2"/>
      <x:c r="F36" s="2"/>
      <x:c r="G36" s="2"/>
      <x:c r="H36" s="2"/>
      <x:c r="I36" s="2"/>
      <x:c r="J36" s="2"/>
    </x:row>
    <x:row r="37" ht="21" customHeight="1">
      <x:c r="A37" s="2"/>
      <x:c r="B37" s="2"/>
      <x:c r="C37" s="2" t="str">
        <x:v>supported by residual combined cash, not a business-acquisition valuation or program</x:v>
      </x:c>
      <x:c r="D37" s="2"/>
      <x:c r="E37" s="2"/>
      <x:c r="F37" s="2"/>
      <x:c r="G37" s="2"/>
      <x:c r="H37" s="2"/>
      <x:c r="I37" s="2"/>
      <x:c r="J37" s="2"/>
    </x:row>
    <x:row r="38" ht="21" customHeight="1">
      <x:c r="A38" s="2"/>
      <x:c r="B38" s="2"/>
      <x:c r="C38" s="2" t="str">
        <x:v>eligibility test.</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Business purchases, equipment purchases at closing and goodwill are excluded from the</x:v>
      </x:c>
      <x:c r="D40" s="2"/>
      <x:c r="E40" s="2"/>
      <x:c r="F40" s="2"/>
      <x:c r="G40" s="2"/>
      <x:c r="H40" s="2"/>
      <x:c r="I40" s="2"/>
      <x:c r="J40" s="2"/>
    </x:row>
    <x:row r="41" ht="21" customHeight="1">
      <x:c r="A41" s="2"/>
      <x:c r="B41" s="2"/>
      <x:c r="C41" s="2" t="str">
        <x:v>example acquisition uses. Reconcile their separate funding and resulting debt</x:v>
      </x:c>
      <x:c r="D41" s="2"/>
      <x:c r="E41" s="2"/>
      <x:c r="F41" s="2"/>
      <x:c r="G41" s="2"/>
      <x:c r="H41" s="2"/>
      <x:c r="I41" s="2"/>
      <x:c r="J41" s="2"/>
    </x:row>
    <x:row r="42" ht="21" customHeight="1">
      <x:c r="A42" s="2"/>
      <x:c r="B42" s="2"/>
      <x:c r="C42" s="2" t="str">
        <x:v>obligations before relying on the property-only equity gap. Include additional</x:v>
      </x:c>
      <x:c r="D42" s="2"/>
      <x:c r="E42" s="2"/>
      <x:c r="F42" s="2"/>
      <x:c r="G42" s="2"/>
      <x:c r="H42" s="2"/>
      <x:c r="I42" s="2"/>
      <x:c r="J42" s="2"/>
    </x:row>
    <x:row r="43" ht="21" customHeight="1">
      <x:c r="A43" s="2"/>
      <x:c r="B43" s="2"/>
      <x:c r="C43" s="2" t="str">
        <x:v>post-closing equipment or expansion cash in the capital schedule once.</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Related-party rent is shown and eliminated. External property costs exclude mortgage</x:v>
      </x:c>
      <x:c r="D45" s="2"/>
      <x:c r="E45" s="2"/>
      <x:c r="F45" s="2"/>
      <x:c r="G45" s="2"/>
      <x:c r="H45" s="2"/>
      <x:c r="I45" s="2"/>
      <x:c r="J45" s="2"/>
    </x:row>
    <x:row r="46" ht="21" customHeight="1">
      <x:c r="A46" s="2"/>
      <x:c r="B46" s="2"/>
      <x:c r="C46" s="2" t="str">
        <x:v>debt and must not also appear in business operating inputs. No intercompany transfer</x:v>
      </x:c>
      <x:c r="D46" s="2"/>
      <x:c r="E46" s="2"/>
      <x:c r="F46" s="2"/>
      <x:c r="G46" s="2"/>
      <x:c r="H46" s="2"/>
      <x:c r="I46" s="2"/>
      <x:c r="J46" s="2"/>
    </x:row>
    <x:row r="47" ht="21" customHeight="1">
      <x:c r="A47" s="2"/>
      <x:c r="B47" s="2"/>
      <x:c r="C47" s="2" t="str">
        <x:v>permission is established.</x:v>
      </x:c>
      <x:c r="D47" s="2"/>
      <x:c r="E47" s="2"/>
      <x:c r="F47" s="2"/>
      <x:c r="G47" s="2"/>
      <x:c r="H47" s="2"/>
      <x:c r="I47" s="2"/>
      <x:c r="J47" s="2"/>
    </x:row>
    <x:row r="48" ht="21" customHeight="1">
      <x:c r="A48" s="2"/>
      <x:c r="B48" s="2"/>
      <x:c r="C48" s="2"/>
      <x:c r="D48" s="2"/>
      <x:c r="E48" s="2"/>
      <x:c r="F48" s="2"/>
      <x:c r="G48" s="2"/>
      <x:c r="H48" s="2"/>
      <x:c r="I48" s="2"/>
      <x:c r="J48" s="2"/>
    </x:row>
    <x:row r="49" ht="21" customHeight="1">
      <x:c r="A49" s="2"/>
      <x:c r="B49" s="2"/>
      <x:c r="C49" s="2" t="str">
        <x:v>Maintenance capital is deducted before sizing. Additional expansion/property capital is</x:v>
      </x:c>
      <x:c r="D49" s="2"/>
      <x:c r="E49" s="2"/>
      <x:c r="F49" s="2"/>
      <x:c r="G49" s="2"/>
      <x:c r="H49" s="2"/>
      <x:c r="I49" s="2"/>
      <x:c r="J49" s="2"/>
    </x:row>
    <x:row r="50" ht="21" customHeight="1">
      <x:c r="A50" s="2"/>
      <x:c r="B50" s="2"/>
      <x:c r="C50" s="2" t="str">
        <x:v>deducted below residual cash. Do not enter the same cost in both places.</x:v>
      </x:c>
      <x:c r="D50" s="2"/>
      <x:c r="E50" s="2"/>
      <x:c r="F50" s="2"/>
      <x:c r="G50" s="2"/>
      <x:c r="H50" s="2"/>
      <x:c r="I50" s="2"/>
      <x:c r="J50" s="2"/>
    </x:row>
    <x:row r="51" ht="21" customHeight="1">
      <x:c r="A51" s="2"/>
      <x:c r="B51" s="2"/>
      <x:c r="C51" s="2"/>
      <x:c r="D51" s="2"/>
      <x:c r="E51" s="2"/>
      <x:c r="F51" s="2"/>
      <x:c r="G51" s="2"/>
      <x:c r="H51" s="2"/>
      <x:c r="I51" s="2"/>
      <x:c r="J51" s="2"/>
    </x:row>
    <x:row r="52" ht="21" customHeight="1">
      <x:c r="A52" s="2"/>
      <x:c r="B52" s="2"/>
      <x:c r="C52" s="2" t="str">
        <x:v>All amounts are fictional. Residual coverage, value and cash tests do not establish bank</x:v>
      </x:c>
      <x:c r="D52" s="2"/>
      <x:c r="E52" s="2"/>
      <x:c r="F52" s="2"/>
      <x:c r="G52" s="2"/>
      <x:c r="H52" s="2"/>
      <x:c r="I52" s="2"/>
      <x:c r="J52" s="2"/>
    </x:row>
    <x:row r="53" ht="21" customHeight="1">
      <x:c r="A53" s="2"/>
      <x:c r="B53" s="2"/>
      <x:c r="C53" s="2" t="str">
        <x:v>DSCR, program eligibility, business value or a loan commitment.</x:v>
      </x:c>
      <x:c r="D53" s="2"/>
      <x:c r="E53" s="2"/>
      <x:c r="F53" s="2"/>
      <x:c r="G53" s="2"/>
      <x:c r="H53" s="2"/>
      <x:c r="I53" s="2"/>
      <x:c r="J53" s="2"/>
    </x:row>
    <x:row r="54" ht="21" customHeight="1">
      <x:c r="A54" s="2"/>
      <x:c r="B54" s="2"/>
      <x:c r="C54" s="2"/>
      <x:c r="D54" s="2"/>
      <x:c r="E54" s="2"/>
      <x:c r="F54" s="2"/>
      <x:c r="G54" s="2"/>
      <x:c r="H54" s="2"/>
      <x:c r="I54" s="2"/>
      <x:c r="J54" s="2"/>
    </x:row>
    <x:row r="55" ht="21" customHeight="1">
      <x:c r="A55" s="2"/>
      <x:c r="B55" s="2"/>
      <x:c r="C55" s="2" t="str">
        <x:v>Published by Jaken Finance Group. 833-264-7776 | info@jakenfinancegroup.com.</x:v>
      </x:c>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t="str">
        <x:v>Every numerical assumption is illustrative. No current market quote, legal conclusion or</x:v>
      </x:c>
      <x:c r="D57" s="2"/>
      <x:c r="E57" s="2"/>
      <x:c r="F57" s="2"/>
      <x:c r="G57" s="2"/>
      <x:c r="H57" s="2"/>
      <x:c r="I57" s="2"/>
      <x:c r="J57" s="2"/>
    </x:row>
    <x:row r="58" ht="21" customHeight="1">
      <x:c r="A58" s="2"/>
      <x:c r="B58" s="2"/>
      <x:c r="C58" s="2" t="str">
        <x:v>lender eligibility is represented.</x:v>
      </x:c>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t="str">
        <x:v>NCF is a modeled cash measure after cash reserve deposits. An actual lender may adjust</x:v>
      </x:c>
      <x:c r="D60" s="2"/>
      <x:c r="E60" s="2"/>
      <x:c r="F60" s="2"/>
      <x:c r="G60" s="2"/>
      <x:c r="H60" s="2"/>
      <x:c r="I60" s="2"/>
      <x:c r="J60" s="2"/>
    </x:row>
    <x:row r="61">
      <x:c r="C61" s="72" t="str">
        <x:v>income, expenses, reserves, tax and business cash differently.</x:v>
      </x:c>
    </x:row>
    <x:row r="62">
      <x:c r="C62" s="72"/>
    </x:row>
    <x:row r="63">
      <x:c r="C63" s="72" t="str">
        <x:v>No tax return, appraisal, legal compliance, guaranty capacity or refinancing approval is</x:v>
      </x:c>
    </x:row>
    <x:row r="64">
      <x:c r="C64" s="72" t="str">
        <x:v>established by the calculations.</x:v>
      </x:c>
    </x:row>
    <x:row r="65">
      <x:c r="C65" s="72"/>
    </x:row>
    <x:row r="66">
      <x:c r="C66" s="72" t="str">
        <x:v>Calculation methods and conventions are shown here. Check Review and replace</x:v>
      </x:c>
    </x:row>
    <x:row r="67">
      <x:c r="C67" s="72" t="str">
        <x:v>illustrative inputs before relying on results.</x:v>
      </x:c>
    </x:row>
    <x:row r="68">
      <x:c r="C68" s="72"/>
    </x:row>
    <x:row r="69">
      <x:c r="C69" s="72"/>
    </x:row>
    <x:row r="70">
      <x:c r="C70" s="72"/>
    </x:row>
  </x:sheetData>
  <x:conditionalFormatting sqref="D10:D16">
    <x:cfRule type="expression" dxfId="5" priority="1">
      <x:formula>ABS(D10)&gt;0.01</x:formula>
    </x:cfRule>
  </x:conditionalFormatting>
  <x:pageMargins left="0.7" right="0.7" top="0.75" bottom="0.75" header="0.3" footer="0.3"/>
</x:worksheet>
</file>